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20" windowWidth="19125" windowHeight="11835" activeTab="3"/>
  </bookViews>
  <sheets>
    <sheet name="First Version" sheetId="1" r:id="rId1"/>
    <sheet name="Second Version" sheetId="2" r:id="rId2"/>
    <sheet name="Backup" sheetId="3" r:id="rId3"/>
    <sheet name="FINAL" sheetId="4" r:id="rId4"/>
  </sheets>
  <definedNames>
    <definedName name="_cls1">FINAL!$W$22</definedName>
    <definedName name="_cls10">FINAL!#REF!</definedName>
    <definedName name="_cls12">FINAL!#REF!</definedName>
    <definedName name="_cls2">FINAL!$W$23</definedName>
    <definedName name="_cls3">FINAL!$W$24</definedName>
    <definedName name="_cls4">FINAL!#REF!</definedName>
    <definedName name="_cls5">FINAL!#REF!</definedName>
    <definedName name="_cls6">FINAL!#REF!</definedName>
    <definedName name="_cls7">FINAL!#REF!</definedName>
    <definedName name="_cls8">FINAL!#REF!</definedName>
    <definedName name="_cls9">FINAL!#REF!</definedName>
    <definedName name="actReg">FINAL!$W$56</definedName>
    <definedName name="actRegCode">FINAL!$W$58</definedName>
    <definedName name="actRegValue">FINAL!$W$57</definedName>
    <definedName name="adasd">FINAL!#REF!</definedName>
    <definedName name="asdad">FINAL!#REF!</definedName>
    <definedName name="clas1">FINAL!$W$26</definedName>
    <definedName name="clas10">FINAL!$W$35</definedName>
    <definedName name="clas11">FINAL!$W$36</definedName>
    <definedName name="clas12">FINAL!$W$37</definedName>
    <definedName name="clas2">FINAL!$W$27</definedName>
    <definedName name="clas3">FINAL!$W$28</definedName>
    <definedName name="clas4">FINAL!$W$29</definedName>
    <definedName name="clas5">FINAL!$W$30</definedName>
    <definedName name="clas6">FINAL!$W$31</definedName>
    <definedName name="clas7">FINAL!$W$32</definedName>
    <definedName name="clas8">FINAL!$W$33</definedName>
    <definedName name="clas9">FINAL!$W$34</definedName>
    <definedName name="clss1">FINAL!$W$22</definedName>
    <definedName name="clsValue">FINAL!$W$40:$X$47</definedName>
    <definedName name="Colour1">FINAL!$Q$2</definedName>
    <definedName name="Colour2">FINAL!$R$2</definedName>
    <definedName name="Colour3">FINAL!$S$2</definedName>
    <definedName name="Colour4">FINAL!$T$2</definedName>
    <definedName name="Colour5">FINAL!$U$2</definedName>
    <definedName name="ColourP">FINAL!$Q$2:$U$2</definedName>
    <definedName name="RegData">FINAL!$A$67:$B$86</definedName>
    <definedName name="wweq">FINAL!#REF!</definedName>
  </definedNames>
  <calcPr calcId="124519"/>
</workbook>
</file>

<file path=xl/calcChain.xml><?xml version="1.0" encoding="utf-8"?>
<calcChain xmlns="http://schemas.openxmlformats.org/spreadsheetml/2006/main">
  <c r="B77" i="4"/>
  <c r="B84"/>
  <c r="AJ69"/>
  <c r="AJ68"/>
  <c r="AA58"/>
  <c r="AA57"/>
  <c r="AJ84"/>
  <c r="AJ83"/>
  <c r="AJ82"/>
  <c r="AJ81"/>
  <c r="AJ80"/>
  <c r="AJ79"/>
  <c r="AA70"/>
  <c r="AA69"/>
  <c r="AA84"/>
  <c r="AA82"/>
  <c r="AA81"/>
  <c r="AD93"/>
  <c r="AD92"/>
  <c r="AG93"/>
  <c r="AG92"/>
  <c r="AJ57"/>
  <c r="AJ56"/>
  <c r="AA46"/>
  <c r="AA45"/>
  <c r="AA34"/>
  <c r="AA33"/>
  <c r="AA22"/>
  <c r="AA21"/>
  <c r="AJ45"/>
  <c r="AJ44"/>
  <c r="AJ33"/>
  <c r="AJ32"/>
  <c r="AA10"/>
  <c r="AA9"/>
  <c r="AJ9"/>
  <c r="AJ8"/>
  <c r="J21"/>
  <c r="D21"/>
  <c r="C21"/>
  <c r="B21"/>
  <c r="J20"/>
  <c r="D20"/>
  <c r="C20"/>
  <c r="B20"/>
  <c r="J19"/>
  <c r="D19"/>
  <c r="C19"/>
  <c r="F55"/>
  <c r="G55"/>
  <c r="B19"/>
  <c r="J18"/>
  <c r="D18"/>
  <c r="C18"/>
  <c r="B18"/>
  <c r="J17"/>
  <c r="D17"/>
  <c r="C17"/>
  <c r="B17"/>
  <c r="I53"/>
  <c r="J16"/>
  <c r="D16"/>
  <c r="C16"/>
  <c r="B16"/>
  <c r="I52" s="1"/>
  <c r="AG80" s="1"/>
  <c r="J15"/>
  <c r="E15"/>
  <c r="D51"/>
  <c r="D15"/>
  <c r="C15"/>
  <c r="F51"/>
  <c r="G51"/>
  <c r="B15"/>
  <c r="J14"/>
  <c r="D14"/>
  <c r="C14"/>
  <c r="B14"/>
  <c r="I50"/>
  <c r="J13"/>
  <c r="D13"/>
  <c r="C13"/>
  <c r="B13"/>
  <c r="J11"/>
  <c r="D11"/>
  <c r="C11"/>
  <c r="B11"/>
  <c r="J10"/>
  <c r="D10"/>
  <c r="C10"/>
  <c r="B10"/>
  <c r="J9"/>
  <c r="D9"/>
  <c r="C9"/>
  <c r="B9"/>
  <c r="E9"/>
  <c r="D45"/>
  <c r="J8"/>
  <c r="D8"/>
  <c r="C8"/>
  <c r="B8"/>
  <c r="J7"/>
  <c r="D7"/>
  <c r="C7"/>
  <c r="B7"/>
  <c r="I43"/>
  <c r="J6"/>
  <c r="E6"/>
  <c r="D42"/>
  <c r="D6"/>
  <c r="C6"/>
  <c r="B6"/>
  <c r="J5"/>
  <c r="D5"/>
  <c r="C5"/>
  <c r="B5"/>
  <c r="E5" s="1"/>
  <c r="D41" s="1"/>
  <c r="AJ21" s="1"/>
  <c r="J4"/>
  <c r="D4"/>
  <c r="C4"/>
  <c r="B4"/>
  <c r="J3"/>
  <c r="D3"/>
  <c r="C3"/>
  <c r="F39"/>
  <c r="G39"/>
  <c r="B3"/>
  <c r="J2"/>
  <c r="D2"/>
  <c r="C2"/>
  <c r="B2"/>
  <c r="E2" s="1"/>
  <c r="I49"/>
  <c r="AD80" s="1"/>
  <c r="I48"/>
  <c r="I40"/>
  <c r="I41"/>
  <c r="AJ20" s="1"/>
  <c r="I42"/>
  <c r="I44"/>
  <c r="I45"/>
  <c r="I46"/>
  <c r="I47"/>
  <c r="I51"/>
  <c r="I54"/>
  <c r="I55"/>
  <c r="I56"/>
  <c r="I57"/>
  <c r="C48"/>
  <c r="D48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"/>
  <c r="M2"/>
  <c r="D38" i="2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F57" i="4"/>
  <c r="G57"/>
  <c r="E21"/>
  <c r="D57"/>
  <c r="F56"/>
  <c r="G56"/>
  <c r="E20"/>
  <c r="D56"/>
  <c r="E19"/>
  <c r="F54"/>
  <c r="G54"/>
  <c r="E18"/>
  <c r="D54"/>
  <c r="F53"/>
  <c r="G53"/>
  <c r="H53"/>
  <c r="E17"/>
  <c r="D53"/>
  <c r="F52"/>
  <c r="G52"/>
  <c r="F50"/>
  <c r="G50"/>
  <c r="F49"/>
  <c r="G49"/>
  <c r="E13"/>
  <c r="D49" s="1"/>
  <c r="AD81" s="1"/>
  <c r="F48"/>
  <c r="G48"/>
  <c r="E48"/>
  <c r="H48"/>
  <c r="E12"/>
  <c r="F47"/>
  <c r="G47"/>
  <c r="E11"/>
  <c r="D47"/>
  <c r="F46"/>
  <c r="G46"/>
  <c r="E10"/>
  <c r="D46"/>
  <c r="F45"/>
  <c r="G45"/>
  <c r="F44"/>
  <c r="G44"/>
  <c r="E8"/>
  <c r="D44"/>
  <c r="F43"/>
  <c r="G43"/>
  <c r="E7"/>
  <c r="D43"/>
  <c r="F42"/>
  <c r="G42"/>
  <c r="F41"/>
  <c r="G41"/>
  <c r="F40"/>
  <c r="G40"/>
  <c r="E4"/>
  <c r="D40"/>
  <c r="F38"/>
  <c r="G38"/>
  <c r="M40" i="2"/>
  <c r="M41"/>
  <c r="M42"/>
  <c r="M43"/>
  <c r="M44"/>
  <c r="M45"/>
  <c r="M46"/>
  <c r="M47"/>
  <c r="M48"/>
  <c r="M49"/>
  <c r="M50"/>
  <c r="M51"/>
  <c r="M52"/>
  <c r="M53"/>
  <c r="M54"/>
  <c r="M55"/>
  <c r="M56"/>
  <c r="M57"/>
  <c r="M39"/>
  <c r="H57"/>
  <c r="H56"/>
  <c r="H54"/>
  <c r="H53"/>
  <c r="H48"/>
  <c r="H47"/>
  <c r="H41"/>
  <c r="H40"/>
  <c r="H39"/>
  <c r="H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38"/>
  <c r="E57"/>
  <c r="E47"/>
  <c r="E56"/>
  <c r="E54"/>
  <c r="E53"/>
  <c r="E41"/>
  <c r="E40"/>
  <c r="E39"/>
  <c r="E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38"/>
  <c r="E34"/>
  <c r="B46"/>
  <c r="E4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38"/>
  <c r="L28" i="3"/>
  <c r="K28"/>
  <c r="J28"/>
  <c r="I28"/>
  <c r="H28"/>
  <c r="G28"/>
  <c r="F28"/>
  <c r="E28"/>
  <c r="D28"/>
  <c r="C28"/>
  <c r="B28"/>
  <c r="L27"/>
  <c r="K27"/>
  <c r="J27"/>
  <c r="I27"/>
  <c r="H27"/>
  <c r="G27"/>
  <c r="F27"/>
  <c r="E27"/>
  <c r="D27"/>
  <c r="C27"/>
  <c r="B27"/>
  <c r="L26"/>
  <c r="K26"/>
  <c r="J26"/>
  <c r="I26"/>
  <c r="H26"/>
  <c r="G26"/>
  <c r="F26"/>
  <c r="E26"/>
  <c r="D26"/>
  <c r="C26"/>
  <c r="B26"/>
  <c r="L25"/>
  <c r="K25"/>
  <c r="J25"/>
  <c r="I25"/>
  <c r="H25"/>
  <c r="G25"/>
  <c r="F25"/>
  <c r="E25"/>
  <c r="D25"/>
  <c r="C25"/>
  <c r="B25"/>
  <c r="Q21"/>
  <c r="P21"/>
  <c r="O21"/>
  <c r="N21"/>
  <c r="Q20"/>
  <c r="P20"/>
  <c r="O20"/>
  <c r="N20"/>
  <c r="Q19"/>
  <c r="P19"/>
  <c r="O19"/>
  <c r="N19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1"/>
  <c r="P11"/>
  <c r="O11"/>
  <c r="N11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B40" i="2"/>
  <c r="B41"/>
  <c r="B57"/>
  <c r="B47"/>
  <c r="B39"/>
  <c r="B38"/>
  <c r="N19"/>
  <c r="O19"/>
  <c r="P19"/>
  <c r="Q19"/>
  <c r="N20"/>
  <c r="O20"/>
  <c r="P20"/>
  <c r="Q20"/>
  <c r="N21"/>
  <c r="O21"/>
  <c r="P21"/>
  <c r="Q21"/>
  <c r="C25"/>
  <c r="D25"/>
  <c r="E25"/>
  <c r="F25"/>
  <c r="G25"/>
  <c r="H25"/>
  <c r="I25"/>
  <c r="J25"/>
  <c r="K25"/>
  <c r="L25"/>
  <c r="C26"/>
  <c r="D26"/>
  <c r="E26"/>
  <c r="F26"/>
  <c r="G26"/>
  <c r="H26"/>
  <c r="I26"/>
  <c r="J26"/>
  <c r="K26"/>
  <c r="L26"/>
  <c r="C27"/>
  <c r="D27"/>
  <c r="E27"/>
  <c r="F27"/>
  <c r="G27"/>
  <c r="H27"/>
  <c r="I27"/>
  <c r="J27"/>
  <c r="K27"/>
  <c r="L27"/>
  <c r="C28"/>
  <c r="D28"/>
  <c r="E28"/>
  <c r="F28"/>
  <c r="G28"/>
  <c r="H28"/>
  <c r="I28"/>
  <c r="J28"/>
  <c r="K28"/>
  <c r="L28"/>
  <c r="B28"/>
  <c r="B27"/>
  <c r="B26"/>
  <c r="B25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1"/>
  <c r="P11"/>
  <c r="O11"/>
  <c r="N11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Q3" i="1"/>
  <c r="Q4"/>
  <c r="Q5"/>
  <c r="Q6"/>
  <c r="Q7"/>
  <c r="Q8"/>
  <c r="Q9"/>
  <c r="Q10"/>
  <c r="Q11"/>
  <c r="Q12"/>
  <c r="Q13"/>
  <c r="Q14"/>
  <c r="Q15"/>
  <c r="Q16"/>
  <c r="Q17"/>
  <c r="Q18"/>
  <c r="Q2"/>
  <c r="P3"/>
  <c r="P4"/>
  <c r="P5"/>
  <c r="P6"/>
  <c r="P7"/>
  <c r="P8"/>
  <c r="P9"/>
  <c r="P10"/>
  <c r="P11"/>
  <c r="P12"/>
  <c r="P13"/>
  <c r="P14"/>
  <c r="P15"/>
  <c r="P16"/>
  <c r="P17"/>
  <c r="P18"/>
  <c r="P2"/>
  <c r="O3"/>
  <c r="O4"/>
  <c r="O5"/>
  <c r="O6"/>
  <c r="O7"/>
  <c r="O8"/>
  <c r="O9"/>
  <c r="O10"/>
  <c r="O11"/>
  <c r="O12"/>
  <c r="O13"/>
  <c r="O14"/>
  <c r="O15"/>
  <c r="O16"/>
  <c r="O17"/>
  <c r="O18"/>
  <c r="O2"/>
  <c r="N3"/>
  <c r="N4"/>
  <c r="N5"/>
  <c r="N6"/>
  <c r="N7"/>
  <c r="N8"/>
  <c r="N9"/>
  <c r="N10"/>
  <c r="N11"/>
  <c r="N12"/>
  <c r="N13"/>
  <c r="N14"/>
  <c r="N15"/>
  <c r="N16"/>
  <c r="N17"/>
  <c r="N18"/>
  <c r="N2"/>
  <c r="C23"/>
  <c r="D23"/>
  <c r="E23"/>
  <c r="F23"/>
  <c r="G23"/>
  <c r="H23"/>
  <c r="I23"/>
  <c r="J23"/>
  <c r="K23"/>
  <c r="L23"/>
  <c r="B23"/>
  <c r="C22"/>
  <c r="D22"/>
  <c r="E22"/>
  <c r="F22"/>
  <c r="G22"/>
  <c r="H22"/>
  <c r="I22"/>
  <c r="J22"/>
  <c r="K22"/>
  <c r="L22"/>
  <c r="B22"/>
  <c r="C21"/>
  <c r="D21"/>
  <c r="E21"/>
  <c r="F21"/>
  <c r="G21"/>
  <c r="H21"/>
  <c r="I21"/>
  <c r="J21"/>
  <c r="K21"/>
  <c r="L21"/>
  <c r="B21"/>
  <c r="C20"/>
  <c r="D20"/>
  <c r="E20"/>
  <c r="F20"/>
  <c r="G20"/>
  <c r="H20"/>
  <c r="I20"/>
  <c r="J20"/>
  <c r="K20"/>
  <c r="L20"/>
  <c r="B20"/>
  <c r="B56" i="2"/>
  <c r="B54"/>
  <c r="B42"/>
  <c r="B43"/>
  <c r="B53"/>
  <c r="B44"/>
  <c r="B45"/>
  <c r="B49"/>
  <c r="B50"/>
  <c r="B55"/>
  <c r="B51"/>
  <c r="B52"/>
  <c r="H42"/>
  <c r="H43"/>
  <c r="H44"/>
  <c r="E42"/>
  <c r="E43"/>
  <c r="E44"/>
  <c r="E45"/>
  <c r="E46"/>
  <c r="E49"/>
  <c r="E50"/>
  <c r="E55"/>
  <c r="H45"/>
  <c r="H46"/>
  <c r="H49"/>
  <c r="H50"/>
  <c r="E51"/>
  <c r="E52"/>
  <c r="H55"/>
  <c r="H51"/>
  <c r="H52"/>
  <c r="H55" i="4"/>
  <c r="E55"/>
  <c r="D55"/>
  <c r="B55"/>
  <c r="E14"/>
  <c r="D50"/>
  <c r="E3"/>
  <c r="I38"/>
  <c r="AF9" s="1"/>
  <c r="D39"/>
  <c r="I39"/>
  <c r="C55"/>
  <c r="E16" l="1"/>
  <c r="D52" s="1"/>
  <c r="AG81" s="1"/>
  <c r="B39"/>
  <c r="D38"/>
  <c r="AF10" s="1"/>
  <c r="B40"/>
  <c r="B38"/>
  <c r="H39"/>
  <c r="AJ11" s="1"/>
  <c r="E39"/>
  <c r="AJ10" s="1"/>
  <c r="H40" l="1"/>
  <c r="B41"/>
  <c r="E41"/>
  <c r="AJ22" s="1"/>
  <c r="B42"/>
  <c r="AA8"/>
  <c r="B56"/>
  <c r="E40"/>
  <c r="H41"/>
  <c r="AJ23" s="1"/>
  <c r="AJ7"/>
  <c r="C39"/>
  <c r="H38"/>
  <c r="AF12" s="1"/>
  <c r="E38"/>
  <c r="AF11" s="1"/>
  <c r="AF8"/>
  <c r="C38"/>
  <c r="B67" l="1"/>
  <c r="AF13"/>
  <c r="B68"/>
  <c r="AJ12"/>
  <c r="AA56"/>
  <c r="B54"/>
  <c r="B57"/>
  <c r="B43" s="1"/>
  <c r="AJ31"/>
  <c r="H42"/>
  <c r="AA12"/>
  <c r="H56"/>
  <c r="E56"/>
  <c r="AA11"/>
  <c r="E42"/>
  <c r="C41"/>
  <c r="AJ19"/>
  <c r="C40"/>
  <c r="B69" l="1"/>
  <c r="AA13"/>
  <c r="B70"/>
  <c r="AJ24"/>
  <c r="H54"/>
  <c r="AA60"/>
  <c r="H57"/>
  <c r="AJ71" s="1"/>
  <c r="AJ35"/>
  <c r="AJ43"/>
  <c r="E57"/>
  <c r="AJ70" s="1"/>
  <c r="AJ34"/>
  <c r="AA59"/>
  <c r="E54"/>
  <c r="C54" s="1"/>
  <c r="E43"/>
  <c r="AJ46" s="1"/>
  <c r="C57"/>
  <c r="AJ67"/>
  <c r="AA68"/>
  <c r="B53"/>
  <c r="C56"/>
  <c r="C42"/>
  <c r="B44"/>
  <c r="E44" l="1"/>
  <c r="AA23" s="1"/>
  <c r="H43"/>
  <c r="AJ47" s="1"/>
  <c r="AA20"/>
  <c r="B45"/>
  <c r="B85"/>
  <c r="AA61"/>
  <c r="B83"/>
  <c r="AA73"/>
  <c r="B86"/>
  <c r="AJ72"/>
  <c r="E53"/>
  <c r="AA71"/>
  <c r="AA72"/>
  <c r="B71"/>
  <c r="AJ36"/>
  <c r="AA80"/>
  <c r="H44" l="1"/>
  <c r="E45"/>
  <c r="AA35" s="1"/>
  <c r="C43"/>
  <c r="AA83"/>
  <c r="AA24"/>
  <c r="H45"/>
  <c r="C45" s="1"/>
  <c r="AA32"/>
  <c r="B46"/>
  <c r="C53"/>
  <c r="C44"/>
  <c r="E46" l="1"/>
  <c r="AJ48"/>
  <c r="B72"/>
  <c r="B73"/>
  <c r="AA25"/>
  <c r="AA85"/>
  <c r="B82"/>
  <c r="AA44"/>
  <c r="B47"/>
  <c r="AA47"/>
  <c r="E47"/>
  <c r="B74"/>
  <c r="AA37"/>
  <c r="AA36"/>
  <c r="H46"/>
  <c r="AA48" l="1"/>
  <c r="H47"/>
  <c r="AJ58"/>
  <c r="E49"/>
  <c r="AJ55"/>
  <c r="C47"/>
  <c r="B49"/>
  <c r="C46"/>
  <c r="B75" l="1"/>
  <c r="W57" s="1"/>
  <c r="W58" s="1"/>
  <c r="AA49"/>
  <c r="AD79"/>
  <c r="B50"/>
  <c r="B76"/>
  <c r="AJ60"/>
  <c r="AD82"/>
  <c r="E50"/>
  <c r="AJ59"/>
  <c r="H49"/>
  <c r="AG94" l="1"/>
  <c r="E51"/>
  <c r="AG91"/>
  <c r="B51"/>
  <c r="AD83"/>
  <c r="H50"/>
  <c r="C49"/>
  <c r="AG95" l="1"/>
  <c r="H51"/>
  <c r="AD91"/>
  <c r="C51"/>
  <c r="B52"/>
  <c r="B78"/>
  <c r="AD84"/>
  <c r="AD94"/>
  <c r="E52"/>
  <c r="AG82" s="1"/>
  <c r="C50"/>
  <c r="AG79" l="1"/>
  <c r="B79"/>
  <c r="AG96"/>
  <c r="AD96"/>
  <c r="B80"/>
  <c r="H52"/>
  <c r="AG83" s="1"/>
  <c r="AD95"/>
  <c r="C52" l="1"/>
  <c r="B81" l="1"/>
  <c r="AG84"/>
</calcChain>
</file>

<file path=xl/sharedStrings.xml><?xml version="1.0" encoding="utf-8"?>
<sst xmlns="http://schemas.openxmlformats.org/spreadsheetml/2006/main" count="490" uniqueCount="130">
  <si>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</si>
  <si>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</si>
  <si>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</si>
  <si>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</si>
  <si>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</si>
  <si>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</si>
  <si>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</si>
  <si>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</si>
  <si>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</si>
  <si>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</si>
  <si>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</si>
  <si>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</si>
  <si>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</si>
  <si>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</si>
  <si>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</si>
  <si>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</si>
  <si>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</si>
  <si>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Recycling</t>
  </si>
  <si>
    <t>Stream Restoration</t>
  </si>
  <si>
    <t>Flood Control</t>
  </si>
  <si>
    <t>Planting</t>
  </si>
  <si>
    <t>Land Size</t>
  </si>
  <si>
    <t>Wildlife</t>
  </si>
  <si>
    <t>Air Pollution</t>
  </si>
  <si>
    <t>Cost</t>
  </si>
  <si>
    <t>Waste Disposal</t>
  </si>
  <si>
    <t xml:space="preserve">Waste </t>
  </si>
  <si>
    <t>Recreation</t>
  </si>
  <si>
    <t>Total</t>
  </si>
  <si>
    <t>Avg</t>
  </si>
  <si>
    <t>Min</t>
  </si>
  <si>
    <t>Max</t>
  </si>
  <si>
    <t xml:space="preserve"> Total</t>
  </si>
  <si>
    <t>A - Rich Area/John McGlashan</t>
  </si>
  <si>
    <t>B - Halfway bush / Brockville</t>
  </si>
  <si>
    <t>C - Light Industry</t>
  </si>
  <si>
    <t>D - Kaikorai Valley College</t>
  </si>
  <si>
    <t>E - New Development Light Industry</t>
  </si>
  <si>
    <t>F - Still going Major Industry</t>
  </si>
  <si>
    <t>G - Old Industry Repurpose</t>
  </si>
  <si>
    <t>H - Old Industry (Abandoned)</t>
  </si>
  <si>
    <t>I - Green Island</t>
  </si>
  <si>
    <t>J - Rest of Dunedin</t>
  </si>
  <si>
    <t>K - Tip</t>
  </si>
  <si>
    <t>L - Household close to the Tip</t>
  </si>
  <si>
    <t>M - Recreational</t>
  </si>
  <si>
    <t>N - Wildlife despite Industry</t>
  </si>
  <si>
    <t>O - Lifestyle Houses</t>
  </si>
  <si>
    <t>P - Farmland (1st)</t>
  </si>
  <si>
    <t>S - Farmland (2nd)</t>
  </si>
  <si>
    <t>T - Farmland (3rd)</t>
  </si>
  <si>
    <t>U - Rich Area</t>
  </si>
  <si>
    <t>R - Forest</t>
  </si>
  <si>
    <t>:Need to be discuss area!</t>
  </si>
  <si>
    <t>Pollution</t>
  </si>
  <si>
    <t>Final result</t>
  </si>
  <si>
    <t xml:space="preserve">Each area pollution = </t>
  </si>
  <si>
    <t>(above area wastes rate + that area wastes) X (100-resotration stream rate)/100</t>
  </si>
  <si>
    <t xml:space="preserve"> Evniromental  Programmes</t>
  </si>
  <si>
    <t>Overall waste</t>
  </si>
  <si>
    <t>Good =Minus</t>
  </si>
  <si>
    <t>Bad = Positive</t>
  </si>
  <si>
    <t>Bad=Positve</t>
  </si>
  <si>
    <t>Nature</t>
  </si>
  <si>
    <t>Human Impact</t>
  </si>
  <si>
    <t>Stream restoration progress</t>
  </si>
  <si>
    <t>Land/Waste/Recycling ratio</t>
  </si>
  <si>
    <t>Overall</t>
  </si>
  <si>
    <t>Waste &amp; Air pollution</t>
  </si>
  <si>
    <t>Stream restorration</t>
  </si>
  <si>
    <t>Land Size Recycling and waste  disposal</t>
  </si>
  <si>
    <t>Wastes:</t>
  </si>
  <si>
    <t>Pollution:</t>
  </si>
  <si>
    <t>R- Forest</t>
  </si>
  <si>
    <t>Name:</t>
  </si>
  <si>
    <t xml:space="preserve">             </t>
  </si>
  <si>
    <t>Stream re. pro.</t>
  </si>
  <si>
    <t>L.W.R ratio</t>
  </si>
  <si>
    <t>Stream Re.</t>
  </si>
  <si>
    <t>0-20</t>
  </si>
  <si>
    <t>21-50</t>
  </si>
  <si>
    <t>51-90</t>
  </si>
  <si>
    <t>91-130</t>
  </si>
  <si>
    <t>Colour</t>
  </si>
  <si>
    <t>R_Area</t>
  </si>
  <si>
    <t>A_Area</t>
  </si>
  <si>
    <t>B_Area</t>
  </si>
  <si>
    <t>C_Area</t>
  </si>
  <si>
    <t>D_Area</t>
  </si>
  <si>
    <t>E_Area</t>
  </si>
  <si>
    <t>F_Area</t>
  </si>
  <si>
    <t>G_Area</t>
  </si>
  <si>
    <t>H_Area</t>
  </si>
  <si>
    <t>I_Area</t>
  </si>
  <si>
    <t>J_Area</t>
  </si>
  <si>
    <t>K_Area</t>
  </si>
  <si>
    <t>L_Area</t>
  </si>
  <si>
    <t>M_Area</t>
  </si>
  <si>
    <t>N_Area</t>
  </si>
  <si>
    <t>O_Area</t>
  </si>
  <si>
    <t>P_Area</t>
  </si>
  <si>
    <t>S_Area</t>
  </si>
  <si>
    <t>U_Area</t>
  </si>
  <si>
    <t>T_Area</t>
  </si>
  <si>
    <t>activeReg</t>
    <phoneticPr fontId="0" type="noConversion"/>
  </si>
  <si>
    <t>Value</t>
    <phoneticPr fontId="0" type="noConversion"/>
  </si>
  <si>
    <t>Code</t>
    <phoneticPr fontId="0" type="noConversion"/>
  </si>
  <si>
    <t>actReg</t>
    <phoneticPr fontId="0" type="noConversion"/>
  </si>
  <si>
    <t>actRegValue</t>
    <phoneticPr fontId="0" type="noConversion"/>
  </si>
  <si>
    <t>actRegCode</t>
    <phoneticPr fontId="0" type="noConversion"/>
  </si>
  <si>
    <t>131-200</t>
  </si>
  <si>
    <t>201-300</t>
  </si>
  <si>
    <t>401-500</t>
  </si>
  <si>
    <t>301-400</t>
  </si>
  <si>
    <t>501-600</t>
  </si>
  <si>
    <t>601-700</t>
  </si>
  <si>
    <t>701-800</t>
  </si>
  <si>
    <t>801+</t>
  </si>
  <si>
    <t>clas1</t>
  </si>
  <si>
    <t>clas2</t>
  </si>
  <si>
    <t>clas3</t>
  </si>
  <si>
    <t>clas4</t>
  </si>
  <si>
    <t>clas5</t>
  </si>
  <si>
    <t>clas6</t>
  </si>
  <si>
    <t>clas7</t>
  </si>
  <si>
    <t>clas8</t>
  </si>
  <si>
    <t>clas9</t>
  </si>
  <si>
    <t>clas10</t>
  </si>
  <si>
    <t>clas11</t>
  </si>
  <si>
    <t>clas12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</si>
</sst>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"/>
  </numFmts>
  <fonts count="3">
    <font>
      <sz val="11"/>
      <color theme="1"/>
      <name val="Arial"/>
      <family val="2"/>
    </font>
    <font>
      <sz val="8"/>
      <name val="Tahoma"/>
      <family val="2"/>
    </font>
    <font>
      <b/>
      <sz val="11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33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4" borderId="0" xfId="0" applyFill="1"/>
    <xf numFmtId="0" fontId="0" fillId="0" borderId="1" xfId="0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2" xfId="0" applyBorder="1"/>
    <xf numFmtId="0" fontId="0" fillId="5" borderId="2" xfId="0" applyFill="1" applyBorder="1"/>
    <xf numFmtId="0" fontId="0" fillId="5" borderId="0" xfId="0" applyFill="1"/>
    <xf numFmtId="0" fontId="2" fillId="5" borderId="2" xfId="0" applyFont="1" applyFill="1" applyBorder="1"/>
    <xf numFmtId="2" fontId="0" fillId="0" borderId="2" xfId="0" applyNumberFormat="1" applyBorder="1"/>
    <xf numFmtId="2" fontId="0" fillId="5" borderId="2" xfId="0" applyNumberFormat="1" applyFill="1" applyBorder="1"/>
    <xf numFmtId="0" fontId="2" fillId="6" borderId="2" xfId="0" applyFont="1" applyFill="1" applyBorder="1" applyAlignment="1">
      <alignment horizontal="center"/>
    </xf>
    <xf numFmtId="0" fontId="0" fillId="6" borderId="2" xfId="0" applyFill="1" applyBorder="1"/>
    <xf numFmtId="164" fontId="0" fillId="0" borderId="0" xfId="0" applyNumberFormat="1"/>
    <xf numFmtId="165" fontId="0" fillId="0" borderId="2" xfId="0" applyNumberFormat="1" applyBorder="1"/>
    <xf numFmtId="0" fontId="0" fillId="0" borderId="2" xfId="0" applyFill="1" applyBorder="1"/>
    <xf numFmtId="0" fontId="2" fillId="0" borderId="0" xfId="0" applyFont="1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0" xfId="0" applyBorder="1"/>
    <xf numFmtId="0" fontId="0" fillId="3" borderId="0" xfId="0" applyFill="1" applyBorder="1"/>
    <xf numFmtId="0" fontId="0" fillId="7" borderId="2" xfId="0" applyFill="1" applyBorder="1"/>
    <xf numFmtId="0" fontId="2" fillId="7" borderId="2" xfId="0" applyFont="1" applyFill="1" applyBorder="1"/>
    <xf numFmtId="0" fontId="2" fillId="0" borderId="2" xfId="0" applyFont="1" applyBorder="1" applyAlignment="1">
      <alignment horizontal="left"/>
    </xf>
    <xf numFmtId="0" fontId="2" fillId="8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0" xfId="0" applyFont="1" applyBorder="1"/>
    <xf numFmtId="0" fontId="2" fillId="9" borderId="2" xfId="0" applyFont="1" applyFill="1" applyBorder="1" applyAlignment="1">
      <alignment horizontal="left"/>
    </xf>
    <xf numFmtId="2" fontId="0" fillId="9" borderId="2" xfId="0" applyNumberFormat="1" applyFill="1" applyBorder="1"/>
    <xf numFmtId="0" fontId="0" fillId="9" borderId="2" xfId="0" applyFill="1" applyBorder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0" borderId="0" xfId="0" applyFill="1"/>
    <xf numFmtId="0" fontId="2" fillId="0" borderId="3" xfId="0" applyFont="1" applyBorder="1"/>
    <xf numFmtId="2" fontId="0" fillId="0" borderId="4" xfId="0" applyNumberFormat="1" applyBorder="1"/>
    <xf numFmtId="0" fontId="2" fillId="0" borderId="5" xfId="0" applyFont="1" applyBorder="1"/>
    <xf numFmtId="2" fontId="0" fillId="0" borderId="6" xfId="0" applyNumberFormat="1" applyBorder="1"/>
    <xf numFmtId="0" fontId="2" fillId="0" borderId="5" xfId="0" applyFont="1" applyFill="1" applyBorder="1"/>
    <xf numFmtId="0" fontId="2" fillId="0" borderId="7" xfId="0" applyFont="1" applyBorder="1"/>
    <xf numFmtId="2" fontId="0" fillId="0" borderId="8" xfId="0" applyNumberFormat="1" applyBorder="1"/>
    <xf numFmtId="0" fontId="0" fillId="0" borderId="0" xfId="0" applyAlignment="1">
      <alignment vertical="center"/>
    </xf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99"/>
      <color rgb="FFCCCC00"/>
      <color rgb="FF333300"/>
      <color rgb="FFFF9966"/>
      <color rgb="FFFF5050"/>
      <color rgb="FFFFFFFF"/>
      <color rgb="FFD39691"/>
      <color rgb="FFC64E3A"/>
      <color rgb="FFE7B145"/>
      <color rgb="FFD3961B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strRef>
              <c:f>FINAL!$A$38:$A$57</c:f>
              <c:strCache>
                <c:ptCount val="20"/>
                <c:pt idx="0">
                  <c:v>R - Forest</c:v>
                </c:pt>
                <c:pt idx="1">
                  <c:v>A - Rich Area/John McGlashan</c:v>
                </c:pt>
                <c:pt idx="2">
                  <c:v>B - Halfway bush / Brockville</c:v>
                </c:pt>
                <c:pt idx="3">
                  <c:v>C - Light Industry</c:v>
                </c:pt>
                <c:pt idx="4">
                  <c:v>D - Kaikorai Valley College</c:v>
                </c:pt>
                <c:pt idx="5">
                  <c:v>E - New Development Light Industry</c:v>
                </c:pt>
                <c:pt idx="6">
                  <c:v>F - Still going Major Industry</c:v>
                </c:pt>
                <c:pt idx="7">
                  <c:v>G - Old Industry Repurpose</c:v>
                </c:pt>
                <c:pt idx="8">
                  <c:v>H - Old Industry (Abandoned)</c:v>
                </c:pt>
                <c:pt idx="9">
                  <c:v>I - Green Island</c:v>
                </c:pt>
                <c:pt idx="10">
                  <c:v>J - Rest of Dunedin</c:v>
                </c:pt>
                <c:pt idx="11">
                  <c:v>K - Tip</c:v>
                </c:pt>
                <c:pt idx="12">
                  <c:v>L - Household close to the Tip</c:v>
                </c:pt>
                <c:pt idx="13">
                  <c:v>M - Recreational</c:v>
                </c:pt>
                <c:pt idx="14">
                  <c:v>N - Wildlife despite Industry</c:v>
                </c:pt>
                <c:pt idx="15">
                  <c:v>O - Lifestyle Houses</c:v>
                </c:pt>
                <c:pt idx="16">
                  <c:v>P - Farmland (1st)</c:v>
                </c:pt>
                <c:pt idx="17">
                  <c:v>S - Farmland (2nd)</c:v>
                </c:pt>
                <c:pt idx="18">
                  <c:v>T - Farmland (3rd)</c:v>
                </c:pt>
                <c:pt idx="19">
                  <c:v>U - Rich Area</c:v>
                </c:pt>
              </c:strCache>
            </c:strRef>
          </c:cat>
          <c:val>
            <c:numRef>
              <c:f>FINAL!$B$38:$B$57</c:f>
              <c:numCache>
                <c:formatCode>0.00</c:formatCode>
                <c:ptCount val="20"/>
                <c:pt idx="0">
                  <c:v>5</c:v>
                </c:pt>
                <c:pt idx="1">
                  <c:v>22.5</c:v>
                </c:pt>
                <c:pt idx="2">
                  <c:v>25</c:v>
                </c:pt>
                <c:pt idx="3">
                  <c:v>46.25</c:v>
                </c:pt>
                <c:pt idx="4">
                  <c:v>93.333333333333343</c:v>
                </c:pt>
                <c:pt idx="5">
                  <c:v>173.33333333333334</c:v>
                </c:pt>
                <c:pt idx="6">
                  <c:v>275.83333333333337</c:v>
                </c:pt>
                <c:pt idx="7">
                  <c:v>383.33333333333337</c:v>
                </c:pt>
                <c:pt idx="8">
                  <c:v>436.66666666666674</c:v>
                </c:pt>
                <c:pt idx="9">
                  <c:v>497.91666666666674</c:v>
                </c:pt>
                <c:pt idx="10">
                  <c:v>100</c:v>
                </c:pt>
                <c:pt idx="11">
                  <c:v>623.75000000000011</c:v>
                </c:pt>
                <c:pt idx="12">
                  <c:v>654.27083333333348</c:v>
                </c:pt>
                <c:pt idx="13">
                  <c:v>724.79166666666686</c:v>
                </c:pt>
                <c:pt idx="14">
                  <c:v>802.81250000000023</c:v>
                </c:pt>
                <c:pt idx="15">
                  <c:v>27.083333333333336</c:v>
                </c:pt>
                <c:pt idx="16">
                  <c:v>58.333333333333336</c:v>
                </c:pt>
                <c:pt idx="17">
                  <c:v>45</c:v>
                </c:pt>
                <c:pt idx="18">
                  <c:v>53.333333333333336</c:v>
                </c:pt>
                <c:pt idx="19">
                  <c:v>86.666666666666671</c:v>
                </c:pt>
              </c:numCache>
            </c:numRef>
          </c:val>
        </c:ser>
        <c:marker val="1"/>
        <c:axId val="64276352"/>
        <c:axId val="64277888"/>
      </c:lineChart>
      <c:catAx>
        <c:axId val="64276352"/>
        <c:scaling>
          <c:orientation val="minMax"/>
        </c:scaling>
        <c:axPos val="b"/>
        <c:numFmt formatCode="General" sourceLinked="1"/>
        <c:tickLblPos val="nextTo"/>
        <c:crossAx val="64277888"/>
        <c:crosses val="autoZero"/>
        <c:auto val="1"/>
        <c:lblAlgn val="ctr"/>
        <c:lblOffset val="100"/>
      </c:catAx>
      <c:valAx>
        <c:axId val="64277888"/>
        <c:scaling>
          <c:orientation val="minMax"/>
        </c:scaling>
        <c:axPos val="l"/>
        <c:majorGridlines/>
        <c:numFmt formatCode="0.00" sourceLinked="1"/>
        <c:tickLblPos val="nextTo"/>
        <c:crossAx val="6427635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view3D>
      <c:depthPercent val="100"/>
      <c:perspective val="30"/>
    </c:view3D>
    <c:plotArea>
      <c:layout>
        <c:manualLayout>
          <c:layoutTarget val="inner"/>
          <c:xMode val="edge"/>
          <c:yMode val="edge"/>
          <c:x val="0.15894663167104151"/>
          <c:y val="7.4548702245552628E-2"/>
          <c:w val="0.56919138232720912"/>
          <c:h val="0.79822506561679785"/>
        </c:manualLayout>
      </c:layout>
      <c:line3DChart>
        <c:grouping val="standard"/>
        <c:ser>
          <c:idx val="0"/>
          <c:order val="0"/>
          <c:val>
            <c:numRef>
              <c:f>FINAL!$C$38:$C$57</c:f>
              <c:numCache>
                <c:formatCode>0.00</c:formatCode>
                <c:ptCount val="20"/>
                <c:pt idx="0">
                  <c:v>7.0192307692307692</c:v>
                </c:pt>
                <c:pt idx="1">
                  <c:v>31.310000000000002</c:v>
                </c:pt>
                <c:pt idx="2">
                  <c:v>31.750000000000004</c:v>
                </c:pt>
                <c:pt idx="3">
                  <c:v>53.911249999999995</c:v>
                </c:pt>
                <c:pt idx="4">
                  <c:v>106.91706458333334</c:v>
                </c:pt>
                <c:pt idx="5">
                  <c:v>190.39542577083336</c:v>
                </c:pt>
                <c:pt idx="6">
                  <c:v>339.2706040705209</c:v>
                </c:pt>
                <c:pt idx="7">
                  <c:v>485.37357445990369</c:v>
                </c:pt>
                <c:pt idx="8">
                  <c:v>579.68443944355113</c:v>
                </c:pt>
                <c:pt idx="9">
                  <c:v>596.9839366817082</c:v>
                </c:pt>
                <c:pt idx="10">
                  <c:v>100</c:v>
                </c:pt>
                <c:pt idx="11">
                  <c:v>689.19127577789777</c:v>
                </c:pt>
                <c:pt idx="12">
                  <c:v>680.13930677593055</c:v>
                </c:pt>
                <c:pt idx="13">
                  <c:v>809.68445717367467</c:v>
                </c:pt>
                <c:pt idx="14">
                  <c:v>879.58024380302129</c:v>
                </c:pt>
                <c:pt idx="15">
                  <c:v>25.988020833333337</c:v>
                </c:pt>
                <c:pt idx="16">
                  <c:v>62.98520833333334</c:v>
                </c:pt>
                <c:pt idx="17">
                  <c:v>49.5</c:v>
                </c:pt>
                <c:pt idx="18">
                  <c:v>58.50833333333334</c:v>
                </c:pt>
                <c:pt idx="19">
                  <c:v>106.00511141666668</c:v>
                </c:pt>
              </c:numCache>
            </c:numRef>
          </c:val>
        </c:ser>
        <c:axId val="64733568"/>
        <c:axId val="64735104"/>
        <c:axId val="64107392"/>
      </c:line3DChart>
      <c:catAx>
        <c:axId val="64733568"/>
        <c:scaling>
          <c:orientation val="minMax"/>
        </c:scaling>
        <c:axPos val="b"/>
        <c:numFmt formatCode="General" sourceLinked="1"/>
        <c:tickLblPos val="nextTo"/>
        <c:crossAx val="64735104"/>
        <c:crosses val="autoZero"/>
        <c:auto val="1"/>
        <c:lblAlgn val="ctr"/>
        <c:lblOffset val="100"/>
      </c:catAx>
      <c:valAx>
        <c:axId val="64735104"/>
        <c:scaling>
          <c:orientation val="minMax"/>
        </c:scaling>
        <c:axPos val="l"/>
        <c:majorGridlines/>
        <c:numFmt formatCode="0.00" sourceLinked="1"/>
        <c:tickLblPos val="nextTo"/>
        <c:crossAx val="64733568"/>
        <c:crosses val="autoZero"/>
        <c:crossBetween val="between"/>
      </c:valAx>
      <c:serAx>
        <c:axId val="641073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735104"/>
        <c:crosses val="autoZero"/>
        <c:tickLblSkip val="5"/>
        <c:tickMarkSkip val="1"/>
      </c:serAx>
      <c:spPr>
        <a:noFill/>
        <a:ln w="25400">
          <a:noFill/>
        </a:ln>
      </c:spPr>
    </c:plotArea>
    <c:legend>
      <c:legendPos val="r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282574</xdr:colOff>
      <xdr:row>82</xdr:row>
      <xdr:rowOff>6352</xdr:rowOff>
    </xdr:from>
    <xdr:to>
      <xdr:col>38</xdr:col>
      <xdr:colOff>523873</xdr:colOff>
      <xdr:row>98</xdr:row>
      <xdr:rowOff>107951</xdr:rowOff>
    </xdr:to>
    <xdr:sp macro="" textlink="">
      <xdr:nvSpPr>
        <xdr:cNvPr id="2" name="P_area"/>
        <xdr:cNvSpPr/>
      </xdr:nvSpPr>
      <xdr:spPr>
        <a:xfrm>
          <a:off x="22913974" y="15103477"/>
          <a:ext cx="3670299" cy="2997199"/>
        </a:xfrm>
        <a:custGeom>
          <a:avLst/>
          <a:gdLst>
            <a:gd name="connsiteX0" fmla="*/ 0 w 1857374"/>
            <a:gd name="connsiteY0" fmla="*/ 0 h 2447925"/>
            <a:gd name="connsiteX1" fmla="*/ 1857374 w 1857374"/>
            <a:gd name="connsiteY1" fmla="*/ 0 h 2447925"/>
            <a:gd name="connsiteX2" fmla="*/ 1857374 w 1857374"/>
            <a:gd name="connsiteY2" fmla="*/ 2447925 h 2447925"/>
            <a:gd name="connsiteX3" fmla="*/ 0 w 1857374"/>
            <a:gd name="connsiteY3" fmla="*/ 2447925 h 2447925"/>
            <a:gd name="connsiteX4" fmla="*/ 0 w 1857374"/>
            <a:gd name="connsiteY4" fmla="*/ 0 h 2447925"/>
            <a:gd name="connsiteX0" fmla="*/ 1133475 w 2990849"/>
            <a:gd name="connsiteY0" fmla="*/ 0 h 2447925"/>
            <a:gd name="connsiteX1" fmla="*/ 2990849 w 2990849"/>
            <a:gd name="connsiteY1" fmla="*/ 0 h 2447925"/>
            <a:gd name="connsiteX2" fmla="*/ 2990849 w 2990849"/>
            <a:gd name="connsiteY2" fmla="*/ 2447925 h 2447925"/>
            <a:gd name="connsiteX3" fmla="*/ 1133475 w 2990849"/>
            <a:gd name="connsiteY3" fmla="*/ 2447925 h 2447925"/>
            <a:gd name="connsiteX4" fmla="*/ 0 w 2990849"/>
            <a:gd name="connsiteY4" fmla="*/ 962025 h 2447925"/>
            <a:gd name="connsiteX5" fmla="*/ 1133475 w 2990849"/>
            <a:gd name="connsiteY5" fmla="*/ 0 h 2447925"/>
            <a:gd name="connsiteX0" fmla="*/ 1133475 w 2990849"/>
            <a:gd name="connsiteY0" fmla="*/ 0 h 2447925"/>
            <a:gd name="connsiteX1" fmla="*/ 2990849 w 2990849"/>
            <a:gd name="connsiteY1" fmla="*/ 0 h 2447925"/>
            <a:gd name="connsiteX2" fmla="*/ 2990849 w 2990849"/>
            <a:gd name="connsiteY2" fmla="*/ 2447925 h 2447925"/>
            <a:gd name="connsiteX3" fmla="*/ 1133475 w 2990849"/>
            <a:gd name="connsiteY3" fmla="*/ 2447925 h 2447925"/>
            <a:gd name="connsiteX4" fmla="*/ 0 w 2990849"/>
            <a:gd name="connsiteY4" fmla="*/ 962025 h 2447925"/>
            <a:gd name="connsiteX5" fmla="*/ 1133475 w 2990849"/>
            <a:gd name="connsiteY5" fmla="*/ 0 h 2447925"/>
            <a:gd name="connsiteX0" fmla="*/ 1822450 w 3679824"/>
            <a:gd name="connsiteY0" fmla="*/ 0 h 3105148"/>
            <a:gd name="connsiteX1" fmla="*/ 3679824 w 3679824"/>
            <a:gd name="connsiteY1" fmla="*/ 0 h 3105148"/>
            <a:gd name="connsiteX2" fmla="*/ 3679824 w 3679824"/>
            <a:gd name="connsiteY2" fmla="*/ 2447925 h 3105148"/>
            <a:gd name="connsiteX3" fmla="*/ 1822450 w 3679824"/>
            <a:gd name="connsiteY3" fmla="*/ 2447925 h 3105148"/>
            <a:gd name="connsiteX4" fmla="*/ 688975 w 3679824"/>
            <a:gd name="connsiteY4" fmla="*/ 962025 h 3105148"/>
            <a:gd name="connsiteX5" fmla="*/ 1822450 w 3679824"/>
            <a:gd name="connsiteY5" fmla="*/ 0 h 3105148"/>
            <a:gd name="connsiteX0" fmla="*/ 1812925 w 3670299"/>
            <a:gd name="connsiteY0" fmla="*/ 0 h 3105149"/>
            <a:gd name="connsiteX1" fmla="*/ 3670299 w 3670299"/>
            <a:gd name="connsiteY1" fmla="*/ 0 h 3105149"/>
            <a:gd name="connsiteX2" fmla="*/ 3670299 w 3670299"/>
            <a:gd name="connsiteY2" fmla="*/ 2447925 h 3105149"/>
            <a:gd name="connsiteX3" fmla="*/ 1812925 w 3670299"/>
            <a:gd name="connsiteY3" fmla="*/ 2447925 h 3105149"/>
            <a:gd name="connsiteX4" fmla="*/ 688975 w 3670299"/>
            <a:gd name="connsiteY4" fmla="*/ 962026 h 3105149"/>
            <a:gd name="connsiteX5" fmla="*/ 1812925 w 3670299"/>
            <a:gd name="connsiteY5" fmla="*/ 0 h 310514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3670299" h="3105149">
              <a:moveTo>
                <a:pt x="1812925" y="0"/>
              </a:moveTo>
              <a:lnTo>
                <a:pt x="3670299" y="0"/>
              </a:lnTo>
              <a:lnTo>
                <a:pt x="3670299" y="2447925"/>
              </a:lnTo>
              <a:lnTo>
                <a:pt x="1812925" y="2447925"/>
              </a:lnTo>
              <a:cubicBezTo>
                <a:pt x="1435100" y="1952625"/>
                <a:pt x="0" y="3105149"/>
                <a:pt x="688975" y="962026"/>
              </a:cubicBezTo>
              <a:cubicBezTo>
                <a:pt x="3048000" y="908050"/>
                <a:pt x="1435100" y="320675"/>
                <a:pt x="1812925" y="0"/>
              </a:cubicBezTo>
              <a:close/>
            </a:path>
          </a:pathLst>
        </a:cu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P</a:t>
          </a:r>
        </a:p>
      </xdr:txBody>
    </xdr:sp>
    <xdr:clientData/>
  </xdr:twoCellAnchor>
  <xdr:twoCellAnchor>
    <xdr:from>
      <xdr:col>38</xdr:col>
      <xdr:colOff>466725</xdr:colOff>
      <xdr:row>104</xdr:row>
      <xdr:rowOff>130176</xdr:rowOff>
    </xdr:from>
    <xdr:to>
      <xdr:col>40</xdr:col>
      <xdr:colOff>241300</xdr:colOff>
      <xdr:row>109</xdr:row>
      <xdr:rowOff>130176</xdr:rowOff>
    </xdr:to>
    <xdr:sp macro="" textlink="">
      <xdr:nvSpPr>
        <xdr:cNvPr id="3" name="N_Area"/>
        <xdr:cNvSpPr/>
      </xdr:nvSpPr>
      <xdr:spPr>
        <a:xfrm>
          <a:off x="26527125" y="19208751"/>
          <a:ext cx="1146175" cy="90487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N</a:t>
          </a:r>
        </a:p>
      </xdr:txBody>
    </xdr:sp>
    <xdr:clientData/>
  </xdr:twoCellAnchor>
  <xdr:twoCellAnchor>
    <xdr:from>
      <xdr:col>38</xdr:col>
      <xdr:colOff>485775</xdr:colOff>
      <xdr:row>99</xdr:row>
      <xdr:rowOff>158751</xdr:rowOff>
    </xdr:from>
    <xdr:to>
      <xdr:col>40</xdr:col>
      <xdr:colOff>231775</xdr:colOff>
      <xdr:row>105</xdr:row>
      <xdr:rowOff>9526</xdr:rowOff>
    </xdr:to>
    <xdr:sp macro="" textlink="">
      <xdr:nvSpPr>
        <xdr:cNvPr id="4" name="M_Area"/>
        <xdr:cNvSpPr/>
      </xdr:nvSpPr>
      <xdr:spPr>
        <a:xfrm>
          <a:off x="26546175" y="18332451"/>
          <a:ext cx="1117600" cy="9366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M</a:t>
          </a:r>
        </a:p>
      </xdr:txBody>
    </xdr:sp>
    <xdr:clientData/>
  </xdr:twoCellAnchor>
  <xdr:twoCellAnchor>
    <xdr:from>
      <xdr:col>35</xdr:col>
      <xdr:colOff>669925</xdr:colOff>
      <xdr:row>94</xdr:row>
      <xdr:rowOff>123826</xdr:rowOff>
    </xdr:from>
    <xdr:to>
      <xdr:col>38</xdr:col>
      <xdr:colOff>466725</xdr:colOff>
      <xdr:row>110</xdr:row>
      <xdr:rowOff>1</xdr:rowOff>
    </xdr:to>
    <xdr:sp macro="" textlink="">
      <xdr:nvSpPr>
        <xdr:cNvPr id="5" name="O_Area"/>
        <xdr:cNvSpPr/>
      </xdr:nvSpPr>
      <xdr:spPr>
        <a:xfrm>
          <a:off x="24672925" y="17392651"/>
          <a:ext cx="1854200" cy="2771775"/>
        </a:xfrm>
        <a:custGeom>
          <a:avLst/>
          <a:gdLst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0 w 1866900"/>
            <a:gd name="connsiteY3" fmla="*/ 2809875 h 2809875"/>
            <a:gd name="connsiteX4" fmla="*/ 0 w 1866900"/>
            <a:gd name="connsiteY4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0 w 1866900"/>
            <a:gd name="connsiteY3" fmla="*/ 2809875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0 w 1866900"/>
            <a:gd name="connsiteY3" fmla="*/ 2809875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1152525 w 1866900"/>
            <a:gd name="connsiteY3" fmla="*/ 2076449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1152525 w 1866900"/>
            <a:gd name="connsiteY3" fmla="*/ 2076449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1152525 w 1866900"/>
            <a:gd name="connsiteY3" fmla="*/ 2076449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1333500 w 1866900"/>
            <a:gd name="connsiteY3" fmla="*/ 1876425 h 2809875"/>
            <a:gd name="connsiteX4" fmla="*/ 723900 w 1866900"/>
            <a:gd name="connsiteY4" fmla="*/ 1676400 h 2809875"/>
            <a:gd name="connsiteX5" fmla="*/ 0 w 1866900"/>
            <a:gd name="connsiteY5" fmla="*/ 0 h 28098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866900" h="2809875">
              <a:moveTo>
                <a:pt x="0" y="0"/>
              </a:moveTo>
              <a:lnTo>
                <a:pt x="1866900" y="0"/>
              </a:lnTo>
              <a:lnTo>
                <a:pt x="1866900" y="2809875"/>
              </a:lnTo>
              <a:cubicBezTo>
                <a:pt x="1628775" y="2565400"/>
                <a:pt x="1666875" y="1920875"/>
                <a:pt x="1333500" y="1876425"/>
              </a:cubicBezTo>
              <a:cubicBezTo>
                <a:pt x="1323975" y="1581149"/>
                <a:pt x="866775" y="1809750"/>
                <a:pt x="723900" y="1676400"/>
              </a:cubicBezTo>
              <a:cubicBezTo>
                <a:pt x="1006475" y="784225"/>
                <a:pt x="241300" y="558800"/>
                <a:pt x="0" y="0"/>
              </a:cubicBezTo>
              <a:close/>
            </a:path>
          </a:pathLst>
        </a:cu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O</a:t>
          </a:r>
        </a:p>
      </xdr:txBody>
    </xdr:sp>
    <xdr:clientData/>
  </xdr:twoCellAnchor>
  <xdr:twoCellAnchor>
    <xdr:from>
      <xdr:col>38</xdr:col>
      <xdr:colOff>485775</xdr:colOff>
      <xdr:row>95</xdr:row>
      <xdr:rowOff>19051</xdr:rowOff>
    </xdr:from>
    <xdr:to>
      <xdr:col>40</xdr:col>
      <xdr:colOff>190500</xdr:colOff>
      <xdr:row>99</xdr:row>
      <xdr:rowOff>171451</xdr:rowOff>
    </xdr:to>
    <xdr:sp macro="" textlink="">
      <xdr:nvSpPr>
        <xdr:cNvPr id="6" name="L_Area"/>
        <xdr:cNvSpPr/>
      </xdr:nvSpPr>
      <xdr:spPr>
        <a:xfrm>
          <a:off x="26546175" y="17468851"/>
          <a:ext cx="1076325" cy="8763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L</a:t>
          </a:r>
        </a:p>
      </xdr:txBody>
    </xdr:sp>
    <xdr:clientData/>
  </xdr:twoCellAnchor>
  <xdr:twoCellAnchor>
    <xdr:from>
      <xdr:col>40</xdr:col>
      <xdr:colOff>212726</xdr:colOff>
      <xdr:row>90</xdr:row>
      <xdr:rowOff>92075</xdr:rowOff>
    </xdr:from>
    <xdr:to>
      <xdr:col>41</xdr:col>
      <xdr:colOff>496889</xdr:colOff>
      <xdr:row>109</xdr:row>
      <xdr:rowOff>130175</xdr:rowOff>
    </xdr:to>
    <xdr:sp macro="" textlink="">
      <xdr:nvSpPr>
        <xdr:cNvPr id="7" name="S_Area"/>
        <xdr:cNvSpPr/>
      </xdr:nvSpPr>
      <xdr:spPr>
        <a:xfrm>
          <a:off x="27644726" y="16637000"/>
          <a:ext cx="969963" cy="3476625"/>
        </a:xfrm>
        <a:custGeom>
          <a:avLst/>
          <a:gdLst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847725 w 847725"/>
            <a:gd name="connsiteY2" fmla="*/ 3533775 h 3533775"/>
            <a:gd name="connsiteX3" fmla="*/ 0 w 847725"/>
            <a:gd name="connsiteY3" fmla="*/ 3533775 h 3533775"/>
            <a:gd name="connsiteX4" fmla="*/ 0 w 847725"/>
            <a:gd name="connsiteY4" fmla="*/ 0 h 3533775"/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628650 w 847725"/>
            <a:gd name="connsiteY2" fmla="*/ 1657351 h 3533775"/>
            <a:gd name="connsiteX3" fmla="*/ 847725 w 847725"/>
            <a:gd name="connsiteY3" fmla="*/ 3533775 h 3533775"/>
            <a:gd name="connsiteX4" fmla="*/ 0 w 847725"/>
            <a:gd name="connsiteY4" fmla="*/ 3533775 h 3533775"/>
            <a:gd name="connsiteX5" fmla="*/ 0 w 847725"/>
            <a:gd name="connsiteY5" fmla="*/ 0 h 3533775"/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628650 w 847725"/>
            <a:gd name="connsiteY2" fmla="*/ 1657351 h 3533775"/>
            <a:gd name="connsiteX3" fmla="*/ 847725 w 847725"/>
            <a:gd name="connsiteY3" fmla="*/ 3533775 h 3533775"/>
            <a:gd name="connsiteX4" fmla="*/ 0 w 847725"/>
            <a:gd name="connsiteY4" fmla="*/ 3533775 h 3533775"/>
            <a:gd name="connsiteX5" fmla="*/ 0 w 847725"/>
            <a:gd name="connsiteY5" fmla="*/ 0 h 3533775"/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628650 w 847725"/>
            <a:gd name="connsiteY2" fmla="*/ 1657351 h 3533775"/>
            <a:gd name="connsiteX3" fmla="*/ 847725 w 847725"/>
            <a:gd name="connsiteY3" fmla="*/ 3533775 h 3533775"/>
            <a:gd name="connsiteX4" fmla="*/ 0 w 847725"/>
            <a:gd name="connsiteY4" fmla="*/ 3533775 h 3533775"/>
            <a:gd name="connsiteX5" fmla="*/ 0 w 847725"/>
            <a:gd name="connsiteY5" fmla="*/ 0 h 3533775"/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476250 w 847725"/>
            <a:gd name="connsiteY2" fmla="*/ 1666878 h 3533775"/>
            <a:gd name="connsiteX3" fmla="*/ 847725 w 847725"/>
            <a:gd name="connsiteY3" fmla="*/ 3533775 h 3533775"/>
            <a:gd name="connsiteX4" fmla="*/ 0 w 847725"/>
            <a:gd name="connsiteY4" fmla="*/ 3533775 h 3533775"/>
            <a:gd name="connsiteX5" fmla="*/ 0 w 847725"/>
            <a:gd name="connsiteY5" fmla="*/ 0 h 3533775"/>
            <a:gd name="connsiteX0" fmla="*/ 0 w 966788"/>
            <a:gd name="connsiteY0" fmla="*/ 0 h 3533775"/>
            <a:gd name="connsiteX1" fmla="*/ 847725 w 966788"/>
            <a:gd name="connsiteY1" fmla="*/ 0 h 3533775"/>
            <a:gd name="connsiteX2" fmla="*/ 790575 w 966788"/>
            <a:gd name="connsiteY2" fmla="*/ 495301 h 3533775"/>
            <a:gd name="connsiteX3" fmla="*/ 476250 w 966788"/>
            <a:gd name="connsiteY3" fmla="*/ 1666878 h 3533775"/>
            <a:gd name="connsiteX4" fmla="*/ 847725 w 966788"/>
            <a:gd name="connsiteY4" fmla="*/ 3533775 h 3533775"/>
            <a:gd name="connsiteX5" fmla="*/ 0 w 966788"/>
            <a:gd name="connsiteY5" fmla="*/ 3533775 h 3533775"/>
            <a:gd name="connsiteX6" fmla="*/ 0 w 966788"/>
            <a:gd name="connsiteY6" fmla="*/ 0 h 3533775"/>
            <a:gd name="connsiteX0" fmla="*/ 0 w 1004886"/>
            <a:gd name="connsiteY0" fmla="*/ 0 h 3533775"/>
            <a:gd name="connsiteX1" fmla="*/ 847725 w 1004886"/>
            <a:gd name="connsiteY1" fmla="*/ 0 h 3533775"/>
            <a:gd name="connsiteX2" fmla="*/ 790575 w 1004886"/>
            <a:gd name="connsiteY2" fmla="*/ 495301 h 3533775"/>
            <a:gd name="connsiteX3" fmla="*/ 476250 w 1004886"/>
            <a:gd name="connsiteY3" fmla="*/ 1666878 h 3533775"/>
            <a:gd name="connsiteX4" fmla="*/ 942974 w 1004886"/>
            <a:gd name="connsiteY4" fmla="*/ 2295526 h 3533775"/>
            <a:gd name="connsiteX5" fmla="*/ 847725 w 1004886"/>
            <a:gd name="connsiteY5" fmla="*/ 3533775 h 3533775"/>
            <a:gd name="connsiteX6" fmla="*/ 0 w 1004886"/>
            <a:gd name="connsiteY6" fmla="*/ 3533775 h 3533775"/>
            <a:gd name="connsiteX7" fmla="*/ 0 w 1004886"/>
            <a:gd name="connsiteY7" fmla="*/ 0 h 3533775"/>
            <a:gd name="connsiteX0" fmla="*/ 0 w 966788"/>
            <a:gd name="connsiteY0" fmla="*/ 0 h 3533775"/>
            <a:gd name="connsiteX1" fmla="*/ 847725 w 966788"/>
            <a:gd name="connsiteY1" fmla="*/ 0 h 3533775"/>
            <a:gd name="connsiteX2" fmla="*/ 790575 w 966788"/>
            <a:gd name="connsiteY2" fmla="*/ 495301 h 3533775"/>
            <a:gd name="connsiteX3" fmla="*/ 476250 w 966788"/>
            <a:gd name="connsiteY3" fmla="*/ 1666878 h 3533775"/>
            <a:gd name="connsiteX4" fmla="*/ 942974 w 966788"/>
            <a:gd name="connsiteY4" fmla="*/ 2295526 h 3533775"/>
            <a:gd name="connsiteX5" fmla="*/ 361950 w 966788"/>
            <a:gd name="connsiteY5" fmla="*/ 3343277 h 3533775"/>
            <a:gd name="connsiteX6" fmla="*/ 0 w 966788"/>
            <a:gd name="connsiteY6" fmla="*/ 3533775 h 3533775"/>
            <a:gd name="connsiteX7" fmla="*/ 0 w 966788"/>
            <a:gd name="connsiteY7" fmla="*/ 0 h 3533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966788" h="3533775">
              <a:moveTo>
                <a:pt x="0" y="0"/>
              </a:moveTo>
              <a:lnTo>
                <a:pt x="847725" y="0"/>
              </a:lnTo>
              <a:cubicBezTo>
                <a:pt x="966788" y="77788"/>
                <a:pt x="852488" y="217488"/>
                <a:pt x="790575" y="495301"/>
              </a:cubicBezTo>
              <a:cubicBezTo>
                <a:pt x="728663" y="773114"/>
                <a:pt x="450850" y="1366841"/>
                <a:pt x="476250" y="1666878"/>
              </a:cubicBezTo>
              <a:cubicBezTo>
                <a:pt x="501650" y="1966915"/>
                <a:pt x="962024" y="2016126"/>
                <a:pt x="942974" y="2295526"/>
              </a:cubicBezTo>
              <a:cubicBezTo>
                <a:pt x="923924" y="2574926"/>
                <a:pt x="465137" y="3152777"/>
                <a:pt x="361950" y="3343277"/>
              </a:cubicBezTo>
              <a:lnTo>
                <a:pt x="0" y="3533775"/>
              </a:lnTo>
              <a:lnTo>
                <a:pt x="0" y="0"/>
              </a:lnTo>
              <a:close/>
            </a:path>
          </a:pathLst>
        </a:cu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S</a:t>
          </a:r>
        </a:p>
      </xdr:txBody>
    </xdr:sp>
    <xdr:clientData/>
  </xdr:twoCellAnchor>
  <xdr:twoCellAnchor>
    <xdr:from>
      <xdr:col>38</xdr:col>
      <xdr:colOff>149225</xdr:colOff>
      <xdr:row>91</xdr:row>
      <xdr:rowOff>47626</xdr:rowOff>
    </xdr:from>
    <xdr:to>
      <xdr:col>40</xdr:col>
      <xdr:colOff>403225</xdr:colOff>
      <xdr:row>96</xdr:row>
      <xdr:rowOff>12701</xdr:rowOff>
    </xdr:to>
    <xdr:sp macro="" textlink="">
      <xdr:nvSpPr>
        <xdr:cNvPr id="8" name="K_Area"/>
        <xdr:cNvSpPr/>
      </xdr:nvSpPr>
      <xdr:spPr>
        <a:xfrm>
          <a:off x="26209625" y="16773526"/>
          <a:ext cx="1625600" cy="86995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K</a:t>
          </a:r>
        </a:p>
      </xdr:txBody>
    </xdr:sp>
    <xdr:clientData/>
  </xdr:twoCellAnchor>
  <xdr:twoCellAnchor>
    <xdr:from>
      <xdr:col>40</xdr:col>
      <xdr:colOff>231775</xdr:colOff>
      <xdr:row>69</xdr:row>
      <xdr:rowOff>174626</xdr:rowOff>
    </xdr:from>
    <xdr:to>
      <xdr:col>43</xdr:col>
      <xdr:colOff>198437</xdr:colOff>
      <xdr:row>92</xdr:row>
      <xdr:rowOff>107951</xdr:rowOff>
    </xdr:to>
    <xdr:sp macro="" textlink="">
      <xdr:nvSpPr>
        <xdr:cNvPr id="9" name="U_Area"/>
        <xdr:cNvSpPr/>
      </xdr:nvSpPr>
      <xdr:spPr>
        <a:xfrm>
          <a:off x="27663775" y="12919076"/>
          <a:ext cx="2024062" cy="4095750"/>
        </a:xfrm>
        <a:custGeom>
          <a:avLst/>
          <a:gdLst>
            <a:gd name="connsiteX0" fmla="*/ 0 w 1476375"/>
            <a:gd name="connsiteY0" fmla="*/ 0 h 4191000"/>
            <a:gd name="connsiteX1" fmla="*/ 1476375 w 1476375"/>
            <a:gd name="connsiteY1" fmla="*/ 0 h 4191000"/>
            <a:gd name="connsiteX2" fmla="*/ 1476375 w 1476375"/>
            <a:gd name="connsiteY2" fmla="*/ 4191000 h 4191000"/>
            <a:gd name="connsiteX3" fmla="*/ 0 w 1476375"/>
            <a:gd name="connsiteY3" fmla="*/ 4191000 h 4191000"/>
            <a:gd name="connsiteX4" fmla="*/ 0 w 1476375"/>
            <a:gd name="connsiteY4" fmla="*/ 0 h 4191000"/>
            <a:gd name="connsiteX0" fmla="*/ 0 w 3114675"/>
            <a:gd name="connsiteY0" fmla="*/ 0 h 4191000"/>
            <a:gd name="connsiteX1" fmla="*/ 1476375 w 3114675"/>
            <a:gd name="connsiteY1" fmla="*/ 0 h 4191000"/>
            <a:gd name="connsiteX2" fmla="*/ 3114675 w 3114675"/>
            <a:gd name="connsiteY2" fmla="*/ 2933700 h 4191000"/>
            <a:gd name="connsiteX3" fmla="*/ 1476375 w 3114675"/>
            <a:gd name="connsiteY3" fmla="*/ 4191000 h 4191000"/>
            <a:gd name="connsiteX4" fmla="*/ 0 w 3114675"/>
            <a:gd name="connsiteY4" fmla="*/ 4191000 h 4191000"/>
            <a:gd name="connsiteX5" fmla="*/ 0 w 3114675"/>
            <a:gd name="connsiteY5" fmla="*/ 0 h 4191000"/>
            <a:gd name="connsiteX0" fmla="*/ 0 w 4016375"/>
            <a:gd name="connsiteY0" fmla="*/ 0 h 4191000"/>
            <a:gd name="connsiteX1" fmla="*/ 1476375 w 4016375"/>
            <a:gd name="connsiteY1" fmla="*/ 0 h 4191000"/>
            <a:gd name="connsiteX2" fmla="*/ 3114675 w 4016375"/>
            <a:gd name="connsiteY2" fmla="*/ 2933700 h 4191000"/>
            <a:gd name="connsiteX3" fmla="*/ 1476375 w 4016375"/>
            <a:gd name="connsiteY3" fmla="*/ 4191000 h 4191000"/>
            <a:gd name="connsiteX4" fmla="*/ 0 w 4016375"/>
            <a:gd name="connsiteY4" fmla="*/ 4191000 h 4191000"/>
            <a:gd name="connsiteX5" fmla="*/ 0 w 4016375"/>
            <a:gd name="connsiteY5" fmla="*/ 0 h 4191000"/>
            <a:gd name="connsiteX0" fmla="*/ 0 w 4016375"/>
            <a:gd name="connsiteY0" fmla="*/ 0 h 4191000"/>
            <a:gd name="connsiteX1" fmla="*/ 1076325 w 4016375"/>
            <a:gd name="connsiteY1" fmla="*/ 19050 h 4191000"/>
            <a:gd name="connsiteX2" fmla="*/ 3114675 w 4016375"/>
            <a:gd name="connsiteY2" fmla="*/ 2933700 h 4191000"/>
            <a:gd name="connsiteX3" fmla="*/ 1476375 w 4016375"/>
            <a:gd name="connsiteY3" fmla="*/ 4191000 h 4191000"/>
            <a:gd name="connsiteX4" fmla="*/ 0 w 4016375"/>
            <a:gd name="connsiteY4" fmla="*/ 4191000 h 4191000"/>
            <a:gd name="connsiteX5" fmla="*/ 0 w 4016375"/>
            <a:gd name="connsiteY5" fmla="*/ 0 h 4191000"/>
            <a:gd name="connsiteX0" fmla="*/ 0 w 3422650"/>
            <a:gd name="connsiteY0" fmla="*/ 0 h 4191000"/>
            <a:gd name="connsiteX1" fmla="*/ 1076325 w 3422650"/>
            <a:gd name="connsiteY1" fmla="*/ 19050 h 4191000"/>
            <a:gd name="connsiteX2" fmla="*/ 952500 w 3422650"/>
            <a:gd name="connsiteY2" fmla="*/ 1885950 h 4191000"/>
            <a:gd name="connsiteX3" fmla="*/ 3114675 w 3422650"/>
            <a:gd name="connsiteY3" fmla="*/ 2933700 h 4191000"/>
            <a:gd name="connsiteX4" fmla="*/ 1476375 w 3422650"/>
            <a:gd name="connsiteY4" fmla="*/ 4191000 h 4191000"/>
            <a:gd name="connsiteX5" fmla="*/ 0 w 3422650"/>
            <a:gd name="connsiteY5" fmla="*/ 4191000 h 4191000"/>
            <a:gd name="connsiteX6" fmla="*/ 0 w 3422650"/>
            <a:gd name="connsiteY6" fmla="*/ 0 h 4191000"/>
            <a:gd name="connsiteX0" fmla="*/ 0 w 3422650"/>
            <a:gd name="connsiteY0" fmla="*/ 0 h 4191000"/>
            <a:gd name="connsiteX1" fmla="*/ 1076325 w 3422650"/>
            <a:gd name="connsiteY1" fmla="*/ 19050 h 4191000"/>
            <a:gd name="connsiteX2" fmla="*/ 1990725 w 3422650"/>
            <a:gd name="connsiteY2" fmla="*/ 1000125 h 4191000"/>
            <a:gd name="connsiteX3" fmla="*/ 952500 w 3422650"/>
            <a:gd name="connsiteY3" fmla="*/ 1885950 h 4191000"/>
            <a:gd name="connsiteX4" fmla="*/ 3114675 w 3422650"/>
            <a:gd name="connsiteY4" fmla="*/ 2933700 h 4191000"/>
            <a:gd name="connsiteX5" fmla="*/ 1476375 w 3422650"/>
            <a:gd name="connsiteY5" fmla="*/ 4191000 h 4191000"/>
            <a:gd name="connsiteX6" fmla="*/ 0 w 3422650"/>
            <a:gd name="connsiteY6" fmla="*/ 4191000 h 4191000"/>
            <a:gd name="connsiteX7" fmla="*/ 0 w 3422650"/>
            <a:gd name="connsiteY7" fmla="*/ 0 h 4191000"/>
            <a:gd name="connsiteX0" fmla="*/ 0 w 3392488"/>
            <a:gd name="connsiteY0" fmla="*/ 0 h 4191000"/>
            <a:gd name="connsiteX1" fmla="*/ 1076325 w 3392488"/>
            <a:gd name="connsiteY1" fmla="*/ 19050 h 4191000"/>
            <a:gd name="connsiteX2" fmla="*/ 1990725 w 3392488"/>
            <a:gd name="connsiteY2" fmla="*/ 1000125 h 4191000"/>
            <a:gd name="connsiteX3" fmla="*/ 952500 w 3392488"/>
            <a:gd name="connsiteY3" fmla="*/ 1885950 h 4191000"/>
            <a:gd name="connsiteX4" fmla="*/ 1771650 w 3392488"/>
            <a:gd name="connsiteY4" fmla="*/ 2686050 h 4191000"/>
            <a:gd name="connsiteX5" fmla="*/ 3114675 w 3392488"/>
            <a:gd name="connsiteY5" fmla="*/ 2933700 h 4191000"/>
            <a:gd name="connsiteX6" fmla="*/ 1476375 w 3392488"/>
            <a:gd name="connsiteY6" fmla="*/ 4191000 h 4191000"/>
            <a:gd name="connsiteX7" fmla="*/ 0 w 3392488"/>
            <a:gd name="connsiteY7" fmla="*/ 4191000 h 4191000"/>
            <a:gd name="connsiteX8" fmla="*/ 0 w 3392488"/>
            <a:gd name="connsiteY8" fmla="*/ 0 h 4191000"/>
            <a:gd name="connsiteX0" fmla="*/ 0 w 2011362"/>
            <a:gd name="connsiteY0" fmla="*/ 0 h 4191000"/>
            <a:gd name="connsiteX1" fmla="*/ 1076325 w 2011362"/>
            <a:gd name="connsiteY1" fmla="*/ 19050 h 4191000"/>
            <a:gd name="connsiteX2" fmla="*/ 1990725 w 2011362"/>
            <a:gd name="connsiteY2" fmla="*/ 1000125 h 4191000"/>
            <a:gd name="connsiteX3" fmla="*/ 952500 w 2011362"/>
            <a:gd name="connsiteY3" fmla="*/ 1885950 h 4191000"/>
            <a:gd name="connsiteX4" fmla="*/ 1771650 w 2011362"/>
            <a:gd name="connsiteY4" fmla="*/ 2686050 h 4191000"/>
            <a:gd name="connsiteX5" fmla="*/ 1390650 w 2011362"/>
            <a:gd name="connsiteY5" fmla="*/ 3667124 h 4191000"/>
            <a:gd name="connsiteX6" fmla="*/ 1476375 w 2011362"/>
            <a:gd name="connsiteY6" fmla="*/ 4191000 h 4191000"/>
            <a:gd name="connsiteX7" fmla="*/ 0 w 2011362"/>
            <a:gd name="connsiteY7" fmla="*/ 4191000 h 4191000"/>
            <a:gd name="connsiteX8" fmla="*/ 0 w 2011362"/>
            <a:gd name="connsiteY8" fmla="*/ 0 h 4191000"/>
            <a:gd name="connsiteX0" fmla="*/ 0 w 2011362"/>
            <a:gd name="connsiteY0" fmla="*/ 0 h 4191000"/>
            <a:gd name="connsiteX1" fmla="*/ 1076325 w 2011362"/>
            <a:gd name="connsiteY1" fmla="*/ 19050 h 4191000"/>
            <a:gd name="connsiteX2" fmla="*/ 1990725 w 2011362"/>
            <a:gd name="connsiteY2" fmla="*/ 1000125 h 4191000"/>
            <a:gd name="connsiteX3" fmla="*/ 952500 w 2011362"/>
            <a:gd name="connsiteY3" fmla="*/ 1885950 h 4191000"/>
            <a:gd name="connsiteX4" fmla="*/ 1771650 w 2011362"/>
            <a:gd name="connsiteY4" fmla="*/ 2686050 h 4191000"/>
            <a:gd name="connsiteX5" fmla="*/ 1390650 w 2011362"/>
            <a:gd name="connsiteY5" fmla="*/ 3667124 h 4191000"/>
            <a:gd name="connsiteX6" fmla="*/ 771525 w 2011362"/>
            <a:gd name="connsiteY6" fmla="*/ 4190999 h 4191000"/>
            <a:gd name="connsiteX7" fmla="*/ 0 w 2011362"/>
            <a:gd name="connsiteY7" fmla="*/ 4191000 h 4191000"/>
            <a:gd name="connsiteX8" fmla="*/ 0 w 2011362"/>
            <a:gd name="connsiteY8" fmla="*/ 0 h 4191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2011362" h="4191000">
              <a:moveTo>
                <a:pt x="0" y="0"/>
              </a:moveTo>
              <a:lnTo>
                <a:pt x="1076325" y="19050"/>
              </a:lnTo>
              <a:cubicBezTo>
                <a:pt x="1279525" y="104775"/>
                <a:pt x="2011362" y="688975"/>
                <a:pt x="1990725" y="1000125"/>
              </a:cubicBezTo>
              <a:cubicBezTo>
                <a:pt x="1970088" y="1311275"/>
                <a:pt x="989012" y="1604963"/>
                <a:pt x="952500" y="1885950"/>
              </a:cubicBezTo>
              <a:cubicBezTo>
                <a:pt x="915988" y="2166937"/>
                <a:pt x="1698625" y="2389188"/>
                <a:pt x="1771650" y="2686050"/>
              </a:cubicBezTo>
              <a:cubicBezTo>
                <a:pt x="1844675" y="2982912"/>
                <a:pt x="1668463" y="3448049"/>
                <a:pt x="1390650" y="3667124"/>
              </a:cubicBezTo>
              <a:lnTo>
                <a:pt x="771525" y="4190999"/>
              </a:lnTo>
              <a:lnTo>
                <a:pt x="0" y="4191000"/>
              </a:lnTo>
              <a:lnTo>
                <a:pt x="0" y="0"/>
              </a:lnTo>
              <a:close/>
            </a:path>
          </a:pathLst>
        </a:cu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U</a:t>
          </a:r>
        </a:p>
      </xdr:txBody>
    </xdr:sp>
    <xdr:clientData/>
  </xdr:twoCellAnchor>
  <xdr:twoCellAnchor>
    <xdr:from>
      <xdr:col>38</xdr:col>
      <xdr:colOff>438150</xdr:colOff>
      <xdr:row>86</xdr:row>
      <xdr:rowOff>88901</xdr:rowOff>
    </xdr:from>
    <xdr:to>
      <xdr:col>40</xdr:col>
      <xdr:colOff>403225</xdr:colOff>
      <xdr:row>91</xdr:row>
      <xdr:rowOff>85726</xdr:rowOff>
    </xdr:to>
    <xdr:sp macro="" textlink="">
      <xdr:nvSpPr>
        <xdr:cNvPr id="10" name="I_Area"/>
        <xdr:cNvSpPr/>
      </xdr:nvSpPr>
      <xdr:spPr>
        <a:xfrm>
          <a:off x="26498550" y="15909926"/>
          <a:ext cx="1336675" cy="9017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I</a:t>
          </a:r>
        </a:p>
      </xdr:txBody>
    </xdr:sp>
    <xdr:clientData/>
  </xdr:twoCellAnchor>
  <xdr:twoCellAnchor>
    <xdr:from>
      <xdr:col>33</xdr:col>
      <xdr:colOff>53975</xdr:colOff>
      <xdr:row>66</xdr:row>
      <xdr:rowOff>95250</xdr:rowOff>
    </xdr:from>
    <xdr:to>
      <xdr:col>38</xdr:col>
      <xdr:colOff>498475</xdr:colOff>
      <xdr:row>82</xdr:row>
      <xdr:rowOff>63501</xdr:rowOff>
    </xdr:to>
    <xdr:sp macro="" textlink="">
      <xdr:nvSpPr>
        <xdr:cNvPr id="11" name="T_Area"/>
        <xdr:cNvSpPr/>
      </xdr:nvSpPr>
      <xdr:spPr>
        <a:xfrm>
          <a:off x="22685375" y="12296775"/>
          <a:ext cx="3873500" cy="2863851"/>
        </a:xfrm>
        <a:custGeom>
          <a:avLst/>
          <a:gdLst>
            <a:gd name="connsiteX0" fmla="*/ 0 w 1790700"/>
            <a:gd name="connsiteY0" fmla="*/ 0 h 2895601"/>
            <a:gd name="connsiteX1" fmla="*/ 1790700 w 1790700"/>
            <a:gd name="connsiteY1" fmla="*/ 0 h 2895601"/>
            <a:gd name="connsiteX2" fmla="*/ 1790700 w 1790700"/>
            <a:gd name="connsiteY2" fmla="*/ 2895601 h 2895601"/>
            <a:gd name="connsiteX3" fmla="*/ 0 w 1790700"/>
            <a:gd name="connsiteY3" fmla="*/ 2895601 h 2895601"/>
            <a:gd name="connsiteX4" fmla="*/ 0 w 1790700"/>
            <a:gd name="connsiteY4" fmla="*/ 0 h 2895601"/>
            <a:gd name="connsiteX0" fmla="*/ 876300 w 2667000"/>
            <a:gd name="connsiteY0" fmla="*/ 0 h 2895601"/>
            <a:gd name="connsiteX1" fmla="*/ 2667000 w 2667000"/>
            <a:gd name="connsiteY1" fmla="*/ 0 h 2895601"/>
            <a:gd name="connsiteX2" fmla="*/ 2667000 w 2667000"/>
            <a:gd name="connsiteY2" fmla="*/ 2895601 h 2895601"/>
            <a:gd name="connsiteX3" fmla="*/ 876300 w 2667000"/>
            <a:gd name="connsiteY3" fmla="*/ 2895601 h 2895601"/>
            <a:gd name="connsiteX4" fmla="*/ 0 w 2667000"/>
            <a:gd name="connsiteY4" fmla="*/ 2228851 h 2895601"/>
            <a:gd name="connsiteX5" fmla="*/ 876300 w 2667000"/>
            <a:gd name="connsiteY5" fmla="*/ 0 h 2895601"/>
            <a:gd name="connsiteX0" fmla="*/ 2079625 w 3870325"/>
            <a:gd name="connsiteY0" fmla="*/ 0 h 2895601"/>
            <a:gd name="connsiteX1" fmla="*/ 3870325 w 3870325"/>
            <a:gd name="connsiteY1" fmla="*/ 0 h 2895601"/>
            <a:gd name="connsiteX2" fmla="*/ 3870325 w 3870325"/>
            <a:gd name="connsiteY2" fmla="*/ 2895601 h 2895601"/>
            <a:gd name="connsiteX3" fmla="*/ 2079625 w 3870325"/>
            <a:gd name="connsiteY3" fmla="*/ 2895601 h 2895601"/>
            <a:gd name="connsiteX4" fmla="*/ 1203325 w 3870325"/>
            <a:gd name="connsiteY4" fmla="*/ 2228851 h 2895601"/>
            <a:gd name="connsiteX5" fmla="*/ 2079625 w 3870325"/>
            <a:gd name="connsiteY5" fmla="*/ 0 h 289560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3870325" h="2895601">
              <a:moveTo>
                <a:pt x="2079625" y="0"/>
              </a:moveTo>
              <a:lnTo>
                <a:pt x="3870325" y="0"/>
              </a:lnTo>
              <a:lnTo>
                <a:pt x="3870325" y="2895601"/>
              </a:lnTo>
              <a:lnTo>
                <a:pt x="2079625" y="2895601"/>
              </a:lnTo>
              <a:lnTo>
                <a:pt x="1203325" y="2228851"/>
              </a:lnTo>
              <a:cubicBezTo>
                <a:pt x="0" y="1104901"/>
                <a:pt x="1787525" y="742950"/>
                <a:pt x="2079625" y="0"/>
              </a:cubicBezTo>
              <a:close/>
            </a:path>
          </a:pathLst>
        </a:cu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T</a:t>
          </a:r>
        </a:p>
      </xdr:txBody>
    </xdr:sp>
    <xdr:clientData/>
  </xdr:twoCellAnchor>
  <xdr:twoCellAnchor>
    <xdr:from>
      <xdr:col>38</xdr:col>
      <xdr:colOff>419100</xdr:colOff>
      <xdr:row>77</xdr:row>
      <xdr:rowOff>174626</xdr:rowOff>
    </xdr:from>
    <xdr:to>
      <xdr:col>40</xdr:col>
      <xdr:colOff>288925</xdr:colOff>
      <xdr:row>82</xdr:row>
      <xdr:rowOff>15876</xdr:rowOff>
    </xdr:to>
    <xdr:sp macro="" textlink="">
      <xdr:nvSpPr>
        <xdr:cNvPr id="12" name="G_Area"/>
        <xdr:cNvSpPr/>
      </xdr:nvSpPr>
      <xdr:spPr>
        <a:xfrm>
          <a:off x="26479500" y="14366876"/>
          <a:ext cx="1241425" cy="7461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G</a:t>
          </a:r>
        </a:p>
      </xdr:txBody>
    </xdr:sp>
    <xdr:clientData/>
  </xdr:twoCellAnchor>
  <xdr:twoCellAnchor>
    <xdr:from>
      <xdr:col>38</xdr:col>
      <xdr:colOff>390525</xdr:colOff>
      <xdr:row>74</xdr:row>
      <xdr:rowOff>69851</xdr:rowOff>
    </xdr:from>
    <xdr:to>
      <xdr:col>40</xdr:col>
      <xdr:colOff>317500</xdr:colOff>
      <xdr:row>78</xdr:row>
      <xdr:rowOff>60326</xdr:rowOff>
    </xdr:to>
    <xdr:sp macro="" textlink="">
      <xdr:nvSpPr>
        <xdr:cNvPr id="13" name="F_Area"/>
        <xdr:cNvSpPr/>
      </xdr:nvSpPr>
      <xdr:spPr>
        <a:xfrm>
          <a:off x="26450925" y="13719176"/>
          <a:ext cx="1298575" cy="71437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F</a:t>
          </a:r>
        </a:p>
      </xdr:txBody>
    </xdr:sp>
    <xdr:clientData/>
  </xdr:twoCellAnchor>
  <xdr:twoCellAnchor>
    <xdr:from>
      <xdr:col>38</xdr:col>
      <xdr:colOff>180975</xdr:colOff>
      <xdr:row>67</xdr:row>
      <xdr:rowOff>174625</xdr:rowOff>
    </xdr:from>
    <xdr:to>
      <xdr:col>40</xdr:col>
      <xdr:colOff>460375</xdr:colOff>
      <xdr:row>74</xdr:row>
      <xdr:rowOff>146051</xdr:rowOff>
    </xdr:to>
    <xdr:sp macro="" textlink="">
      <xdr:nvSpPr>
        <xdr:cNvPr id="14" name="E_Area"/>
        <xdr:cNvSpPr/>
      </xdr:nvSpPr>
      <xdr:spPr>
        <a:xfrm>
          <a:off x="26241375" y="12557125"/>
          <a:ext cx="1651000" cy="1238251"/>
        </a:xfrm>
        <a:custGeom>
          <a:avLst/>
          <a:gdLst>
            <a:gd name="connsiteX0" fmla="*/ 0 w 1514475"/>
            <a:gd name="connsiteY0" fmla="*/ 0 h 1247775"/>
            <a:gd name="connsiteX1" fmla="*/ 1514475 w 1514475"/>
            <a:gd name="connsiteY1" fmla="*/ 0 h 1247775"/>
            <a:gd name="connsiteX2" fmla="*/ 1514475 w 1514475"/>
            <a:gd name="connsiteY2" fmla="*/ 1247775 h 1247775"/>
            <a:gd name="connsiteX3" fmla="*/ 0 w 1514475"/>
            <a:gd name="connsiteY3" fmla="*/ 1247775 h 1247775"/>
            <a:gd name="connsiteX4" fmla="*/ 0 w 1514475"/>
            <a:gd name="connsiteY4" fmla="*/ 0 h 1247775"/>
            <a:gd name="connsiteX0" fmla="*/ 0 w 1581150"/>
            <a:gd name="connsiteY0" fmla="*/ 0 h 1819275"/>
            <a:gd name="connsiteX1" fmla="*/ 1581150 w 1581150"/>
            <a:gd name="connsiteY1" fmla="*/ 571500 h 1819275"/>
            <a:gd name="connsiteX2" fmla="*/ 1581150 w 1581150"/>
            <a:gd name="connsiteY2" fmla="*/ 1819275 h 1819275"/>
            <a:gd name="connsiteX3" fmla="*/ 66675 w 1581150"/>
            <a:gd name="connsiteY3" fmla="*/ 1819275 h 1819275"/>
            <a:gd name="connsiteX4" fmla="*/ 0 w 1581150"/>
            <a:gd name="connsiteY4" fmla="*/ 0 h 1819275"/>
            <a:gd name="connsiteX0" fmla="*/ 0 w 1581150"/>
            <a:gd name="connsiteY0" fmla="*/ 0 h 1819275"/>
            <a:gd name="connsiteX1" fmla="*/ 1581150 w 1581150"/>
            <a:gd name="connsiteY1" fmla="*/ 571500 h 1819275"/>
            <a:gd name="connsiteX2" fmla="*/ 1581150 w 1581150"/>
            <a:gd name="connsiteY2" fmla="*/ 1819275 h 1819275"/>
            <a:gd name="connsiteX3" fmla="*/ 66675 w 1581150"/>
            <a:gd name="connsiteY3" fmla="*/ 1819275 h 1819275"/>
            <a:gd name="connsiteX4" fmla="*/ 0 w 1581150"/>
            <a:gd name="connsiteY4" fmla="*/ 0 h 1819275"/>
            <a:gd name="connsiteX0" fmla="*/ 0 w 1581150"/>
            <a:gd name="connsiteY0" fmla="*/ 0 h 1819275"/>
            <a:gd name="connsiteX1" fmla="*/ 381000 w 1581150"/>
            <a:gd name="connsiteY1" fmla="*/ 733426 h 1819275"/>
            <a:gd name="connsiteX2" fmla="*/ 1581150 w 1581150"/>
            <a:gd name="connsiteY2" fmla="*/ 571500 h 1819275"/>
            <a:gd name="connsiteX3" fmla="*/ 1581150 w 1581150"/>
            <a:gd name="connsiteY3" fmla="*/ 1819275 h 1819275"/>
            <a:gd name="connsiteX4" fmla="*/ 66675 w 1581150"/>
            <a:gd name="connsiteY4" fmla="*/ 1819275 h 1819275"/>
            <a:gd name="connsiteX5" fmla="*/ 0 w 1581150"/>
            <a:gd name="connsiteY5" fmla="*/ 0 h 1819275"/>
            <a:gd name="connsiteX0" fmla="*/ 0 w 1581150"/>
            <a:gd name="connsiteY0" fmla="*/ 0 h 1819275"/>
            <a:gd name="connsiteX1" fmla="*/ 333375 w 1581150"/>
            <a:gd name="connsiteY1" fmla="*/ 552451 h 1819275"/>
            <a:gd name="connsiteX2" fmla="*/ 1581150 w 1581150"/>
            <a:gd name="connsiteY2" fmla="*/ 571500 h 1819275"/>
            <a:gd name="connsiteX3" fmla="*/ 1581150 w 1581150"/>
            <a:gd name="connsiteY3" fmla="*/ 1819275 h 1819275"/>
            <a:gd name="connsiteX4" fmla="*/ 66675 w 1581150"/>
            <a:gd name="connsiteY4" fmla="*/ 1819275 h 1819275"/>
            <a:gd name="connsiteX5" fmla="*/ 0 w 1581150"/>
            <a:gd name="connsiteY5" fmla="*/ 0 h 18192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581150" h="1819275">
              <a:moveTo>
                <a:pt x="0" y="0"/>
              </a:moveTo>
              <a:lnTo>
                <a:pt x="333375" y="552451"/>
              </a:lnTo>
              <a:lnTo>
                <a:pt x="1581150" y="571500"/>
              </a:lnTo>
              <a:lnTo>
                <a:pt x="1581150" y="1819275"/>
              </a:lnTo>
              <a:lnTo>
                <a:pt x="66675" y="1819275"/>
              </a:lnTo>
              <a:lnTo>
                <a:pt x="0" y="0"/>
              </a:lnTo>
              <a:close/>
            </a:path>
          </a:pathLst>
        </a:cu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E</a:t>
          </a:r>
        </a:p>
      </xdr:txBody>
    </xdr:sp>
    <xdr:clientData/>
  </xdr:twoCellAnchor>
  <xdr:twoCellAnchor>
    <xdr:from>
      <xdr:col>38</xdr:col>
      <xdr:colOff>400050</xdr:colOff>
      <xdr:row>67</xdr:row>
      <xdr:rowOff>41276</xdr:rowOff>
    </xdr:from>
    <xdr:to>
      <xdr:col>41</xdr:col>
      <xdr:colOff>635001</xdr:colOff>
      <xdr:row>70</xdr:row>
      <xdr:rowOff>12701</xdr:rowOff>
    </xdr:to>
    <xdr:sp macro="" textlink="">
      <xdr:nvSpPr>
        <xdr:cNvPr id="15" name="D_Area"/>
        <xdr:cNvSpPr/>
      </xdr:nvSpPr>
      <xdr:spPr>
        <a:xfrm>
          <a:off x="26460450" y="12423776"/>
          <a:ext cx="2292351" cy="51435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D</a:t>
          </a:r>
        </a:p>
      </xdr:txBody>
    </xdr:sp>
    <xdr:clientData/>
  </xdr:twoCellAnchor>
  <xdr:twoCellAnchor>
    <xdr:from>
      <xdr:col>37</xdr:col>
      <xdr:colOff>673101</xdr:colOff>
      <xdr:row>61</xdr:row>
      <xdr:rowOff>152401</xdr:rowOff>
    </xdr:from>
    <xdr:to>
      <xdr:col>42</xdr:col>
      <xdr:colOff>92076</xdr:colOff>
      <xdr:row>67</xdr:row>
      <xdr:rowOff>114301</xdr:rowOff>
    </xdr:to>
    <xdr:sp macro="" textlink="">
      <xdr:nvSpPr>
        <xdr:cNvPr id="16" name="C_Area"/>
        <xdr:cNvSpPr/>
      </xdr:nvSpPr>
      <xdr:spPr>
        <a:xfrm>
          <a:off x="26047701" y="11449051"/>
          <a:ext cx="2847975" cy="104775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C </a:t>
          </a:r>
        </a:p>
      </xdr:txBody>
    </xdr:sp>
    <xdr:clientData/>
  </xdr:twoCellAnchor>
  <xdr:twoCellAnchor>
    <xdr:from>
      <xdr:col>34</xdr:col>
      <xdr:colOff>495299</xdr:colOff>
      <xdr:row>56</xdr:row>
      <xdr:rowOff>44452</xdr:rowOff>
    </xdr:from>
    <xdr:to>
      <xdr:col>40</xdr:col>
      <xdr:colOff>12699</xdr:colOff>
      <xdr:row>71</xdr:row>
      <xdr:rowOff>111127</xdr:rowOff>
    </xdr:to>
    <xdr:sp macro="" textlink="">
      <xdr:nvSpPr>
        <xdr:cNvPr id="17" name="B_Area"/>
        <xdr:cNvSpPr/>
      </xdr:nvSpPr>
      <xdr:spPr>
        <a:xfrm>
          <a:off x="23812499" y="10436227"/>
          <a:ext cx="3632200" cy="2781300"/>
        </a:xfrm>
        <a:custGeom>
          <a:avLst/>
          <a:gdLst>
            <a:gd name="connsiteX0" fmla="*/ 0 w 1476375"/>
            <a:gd name="connsiteY0" fmla="*/ 0 h 962025"/>
            <a:gd name="connsiteX1" fmla="*/ 1476375 w 1476375"/>
            <a:gd name="connsiteY1" fmla="*/ 0 h 962025"/>
            <a:gd name="connsiteX2" fmla="*/ 1476375 w 1476375"/>
            <a:gd name="connsiteY2" fmla="*/ 962025 h 962025"/>
            <a:gd name="connsiteX3" fmla="*/ 0 w 1476375"/>
            <a:gd name="connsiteY3" fmla="*/ 962025 h 962025"/>
            <a:gd name="connsiteX4" fmla="*/ 0 w 1476375"/>
            <a:gd name="connsiteY4" fmla="*/ 0 h 962025"/>
            <a:gd name="connsiteX0" fmla="*/ 0 w 1476375"/>
            <a:gd name="connsiteY0" fmla="*/ 219075 h 1181100"/>
            <a:gd name="connsiteX1" fmla="*/ 695325 w 1476375"/>
            <a:gd name="connsiteY1" fmla="*/ 0 h 1181100"/>
            <a:gd name="connsiteX2" fmla="*/ 1476375 w 1476375"/>
            <a:gd name="connsiteY2" fmla="*/ 219075 h 1181100"/>
            <a:gd name="connsiteX3" fmla="*/ 1476375 w 1476375"/>
            <a:gd name="connsiteY3" fmla="*/ 1181100 h 1181100"/>
            <a:gd name="connsiteX4" fmla="*/ 0 w 1476375"/>
            <a:gd name="connsiteY4" fmla="*/ 1181100 h 1181100"/>
            <a:gd name="connsiteX5" fmla="*/ 0 w 1476375"/>
            <a:gd name="connsiteY5" fmla="*/ 219075 h 1181100"/>
            <a:gd name="connsiteX0" fmla="*/ 9525 w 1485900"/>
            <a:gd name="connsiteY0" fmla="*/ 285750 h 1247775"/>
            <a:gd name="connsiteX1" fmla="*/ 0 w 1485900"/>
            <a:gd name="connsiteY1" fmla="*/ 0 h 1247775"/>
            <a:gd name="connsiteX2" fmla="*/ 704850 w 1485900"/>
            <a:gd name="connsiteY2" fmla="*/ 66675 h 1247775"/>
            <a:gd name="connsiteX3" fmla="*/ 1485900 w 1485900"/>
            <a:gd name="connsiteY3" fmla="*/ 285750 h 1247775"/>
            <a:gd name="connsiteX4" fmla="*/ 1485900 w 1485900"/>
            <a:gd name="connsiteY4" fmla="*/ 1247775 h 1247775"/>
            <a:gd name="connsiteX5" fmla="*/ 9525 w 1485900"/>
            <a:gd name="connsiteY5" fmla="*/ 1247775 h 1247775"/>
            <a:gd name="connsiteX6" fmla="*/ 9525 w 1485900"/>
            <a:gd name="connsiteY6" fmla="*/ 285750 h 1247775"/>
            <a:gd name="connsiteX0" fmla="*/ 9525 w 1485900"/>
            <a:gd name="connsiteY0" fmla="*/ 587375 h 1549400"/>
            <a:gd name="connsiteX1" fmla="*/ 0 w 1485900"/>
            <a:gd name="connsiteY1" fmla="*/ 301625 h 1549400"/>
            <a:gd name="connsiteX2" fmla="*/ 704850 w 1485900"/>
            <a:gd name="connsiteY2" fmla="*/ 368300 h 1549400"/>
            <a:gd name="connsiteX3" fmla="*/ 1485900 w 1485900"/>
            <a:gd name="connsiteY3" fmla="*/ 587375 h 1549400"/>
            <a:gd name="connsiteX4" fmla="*/ 1485900 w 1485900"/>
            <a:gd name="connsiteY4" fmla="*/ 1549400 h 1549400"/>
            <a:gd name="connsiteX5" fmla="*/ 9525 w 1485900"/>
            <a:gd name="connsiteY5" fmla="*/ 1549400 h 1549400"/>
            <a:gd name="connsiteX6" fmla="*/ 9525 w 1485900"/>
            <a:gd name="connsiteY6" fmla="*/ 587375 h 1549400"/>
            <a:gd name="connsiteX0" fmla="*/ 0 w 2247900"/>
            <a:gd name="connsiteY0" fmla="*/ 806450 h 1549400"/>
            <a:gd name="connsiteX1" fmla="*/ 762000 w 2247900"/>
            <a:gd name="connsiteY1" fmla="*/ 301625 h 1549400"/>
            <a:gd name="connsiteX2" fmla="*/ 1466850 w 2247900"/>
            <a:gd name="connsiteY2" fmla="*/ 368300 h 1549400"/>
            <a:gd name="connsiteX3" fmla="*/ 2247900 w 2247900"/>
            <a:gd name="connsiteY3" fmla="*/ 587375 h 1549400"/>
            <a:gd name="connsiteX4" fmla="*/ 2247900 w 2247900"/>
            <a:gd name="connsiteY4" fmla="*/ 1549400 h 1549400"/>
            <a:gd name="connsiteX5" fmla="*/ 771525 w 2247900"/>
            <a:gd name="connsiteY5" fmla="*/ 1549400 h 1549400"/>
            <a:gd name="connsiteX6" fmla="*/ 0 w 2247900"/>
            <a:gd name="connsiteY6" fmla="*/ 806450 h 1549400"/>
            <a:gd name="connsiteX0" fmla="*/ 0 w 2495550"/>
            <a:gd name="connsiteY0" fmla="*/ 815975 h 1549400"/>
            <a:gd name="connsiteX1" fmla="*/ 1009650 w 2495550"/>
            <a:gd name="connsiteY1" fmla="*/ 301625 h 1549400"/>
            <a:gd name="connsiteX2" fmla="*/ 1714500 w 2495550"/>
            <a:gd name="connsiteY2" fmla="*/ 368300 h 1549400"/>
            <a:gd name="connsiteX3" fmla="*/ 2495550 w 2495550"/>
            <a:gd name="connsiteY3" fmla="*/ 587375 h 1549400"/>
            <a:gd name="connsiteX4" fmla="*/ 2495550 w 2495550"/>
            <a:gd name="connsiteY4" fmla="*/ 1549400 h 1549400"/>
            <a:gd name="connsiteX5" fmla="*/ 1019175 w 2495550"/>
            <a:gd name="connsiteY5" fmla="*/ 1549400 h 1549400"/>
            <a:gd name="connsiteX6" fmla="*/ 0 w 2495550"/>
            <a:gd name="connsiteY6" fmla="*/ 815975 h 1549400"/>
            <a:gd name="connsiteX0" fmla="*/ 0 w 2495550"/>
            <a:gd name="connsiteY0" fmla="*/ 754061 h 1487486"/>
            <a:gd name="connsiteX1" fmla="*/ 1009650 w 2495550"/>
            <a:gd name="connsiteY1" fmla="*/ 239711 h 1487486"/>
            <a:gd name="connsiteX2" fmla="*/ 1514475 w 2495550"/>
            <a:gd name="connsiteY2" fmla="*/ 11112 h 1487486"/>
            <a:gd name="connsiteX3" fmla="*/ 1714500 w 2495550"/>
            <a:gd name="connsiteY3" fmla="*/ 306386 h 1487486"/>
            <a:gd name="connsiteX4" fmla="*/ 2495550 w 2495550"/>
            <a:gd name="connsiteY4" fmla="*/ 525461 h 1487486"/>
            <a:gd name="connsiteX5" fmla="*/ 2495550 w 2495550"/>
            <a:gd name="connsiteY5" fmla="*/ 1487486 h 1487486"/>
            <a:gd name="connsiteX6" fmla="*/ 1019175 w 2495550"/>
            <a:gd name="connsiteY6" fmla="*/ 1487486 h 1487486"/>
            <a:gd name="connsiteX7" fmla="*/ 0 w 2495550"/>
            <a:gd name="connsiteY7" fmla="*/ 754061 h 1487486"/>
            <a:gd name="connsiteX0" fmla="*/ 0 w 2495550"/>
            <a:gd name="connsiteY0" fmla="*/ 754061 h 1487486"/>
            <a:gd name="connsiteX1" fmla="*/ 857250 w 2495550"/>
            <a:gd name="connsiteY1" fmla="*/ 496887 h 1487486"/>
            <a:gd name="connsiteX2" fmla="*/ 1009650 w 2495550"/>
            <a:gd name="connsiteY2" fmla="*/ 239711 h 1487486"/>
            <a:gd name="connsiteX3" fmla="*/ 1514475 w 2495550"/>
            <a:gd name="connsiteY3" fmla="*/ 11112 h 1487486"/>
            <a:gd name="connsiteX4" fmla="*/ 1714500 w 2495550"/>
            <a:gd name="connsiteY4" fmla="*/ 306386 h 1487486"/>
            <a:gd name="connsiteX5" fmla="*/ 2495550 w 2495550"/>
            <a:gd name="connsiteY5" fmla="*/ 525461 h 1487486"/>
            <a:gd name="connsiteX6" fmla="*/ 2495550 w 2495550"/>
            <a:gd name="connsiteY6" fmla="*/ 1487486 h 1487486"/>
            <a:gd name="connsiteX7" fmla="*/ 1019175 w 2495550"/>
            <a:gd name="connsiteY7" fmla="*/ 1487486 h 1487486"/>
            <a:gd name="connsiteX8" fmla="*/ 0 w 2495550"/>
            <a:gd name="connsiteY8" fmla="*/ 754061 h 1487486"/>
            <a:gd name="connsiteX0" fmla="*/ 0 w 2495550"/>
            <a:gd name="connsiteY0" fmla="*/ 752474 h 1485899"/>
            <a:gd name="connsiteX1" fmla="*/ 857250 w 2495550"/>
            <a:gd name="connsiteY1" fmla="*/ 495300 h 1485899"/>
            <a:gd name="connsiteX2" fmla="*/ 1123950 w 2495550"/>
            <a:gd name="connsiteY2" fmla="*/ 361949 h 1485899"/>
            <a:gd name="connsiteX3" fmla="*/ 1514475 w 2495550"/>
            <a:gd name="connsiteY3" fmla="*/ 9525 h 1485899"/>
            <a:gd name="connsiteX4" fmla="*/ 1714500 w 2495550"/>
            <a:gd name="connsiteY4" fmla="*/ 304799 h 1485899"/>
            <a:gd name="connsiteX5" fmla="*/ 2495550 w 2495550"/>
            <a:gd name="connsiteY5" fmla="*/ 523874 h 1485899"/>
            <a:gd name="connsiteX6" fmla="*/ 2495550 w 2495550"/>
            <a:gd name="connsiteY6" fmla="*/ 1485899 h 1485899"/>
            <a:gd name="connsiteX7" fmla="*/ 1019175 w 2495550"/>
            <a:gd name="connsiteY7" fmla="*/ 1485899 h 1485899"/>
            <a:gd name="connsiteX8" fmla="*/ 0 w 2495550"/>
            <a:gd name="connsiteY8" fmla="*/ 752474 h 1485899"/>
            <a:gd name="connsiteX0" fmla="*/ 0 w 2495550"/>
            <a:gd name="connsiteY0" fmla="*/ 752474 h 1485899"/>
            <a:gd name="connsiteX1" fmla="*/ 438150 w 2495550"/>
            <a:gd name="connsiteY1" fmla="*/ 619125 h 1485899"/>
            <a:gd name="connsiteX2" fmla="*/ 857250 w 2495550"/>
            <a:gd name="connsiteY2" fmla="*/ 495300 h 1485899"/>
            <a:gd name="connsiteX3" fmla="*/ 1123950 w 2495550"/>
            <a:gd name="connsiteY3" fmla="*/ 361949 h 1485899"/>
            <a:gd name="connsiteX4" fmla="*/ 1514475 w 2495550"/>
            <a:gd name="connsiteY4" fmla="*/ 9525 h 1485899"/>
            <a:gd name="connsiteX5" fmla="*/ 1714500 w 2495550"/>
            <a:gd name="connsiteY5" fmla="*/ 304799 h 1485899"/>
            <a:gd name="connsiteX6" fmla="*/ 2495550 w 2495550"/>
            <a:gd name="connsiteY6" fmla="*/ 523874 h 1485899"/>
            <a:gd name="connsiteX7" fmla="*/ 2495550 w 2495550"/>
            <a:gd name="connsiteY7" fmla="*/ 1485899 h 1485899"/>
            <a:gd name="connsiteX8" fmla="*/ 1019175 w 2495550"/>
            <a:gd name="connsiteY8" fmla="*/ 1485899 h 1485899"/>
            <a:gd name="connsiteX9" fmla="*/ 0 w 2495550"/>
            <a:gd name="connsiteY9" fmla="*/ 752474 h 1485899"/>
            <a:gd name="connsiteX0" fmla="*/ 120650 w 2616200"/>
            <a:gd name="connsiteY0" fmla="*/ 752474 h 1485899"/>
            <a:gd name="connsiteX1" fmla="*/ 558800 w 2616200"/>
            <a:gd name="connsiteY1" fmla="*/ 619125 h 1485899"/>
            <a:gd name="connsiteX2" fmla="*/ 977900 w 2616200"/>
            <a:gd name="connsiteY2" fmla="*/ 495300 h 1485899"/>
            <a:gd name="connsiteX3" fmla="*/ 1244600 w 2616200"/>
            <a:gd name="connsiteY3" fmla="*/ 361949 h 1485899"/>
            <a:gd name="connsiteX4" fmla="*/ 1635125 w 2616200"/>
            <a:gd name="connsiteY4" fmla="*/ 9525 h 1485899"/>
            <a:gd name="connsiteX5" fmla="*/ 1835150 w 2616200"/>
            <a:gd name="connsiteY5" fmla="*/ 304799 h 1485899"/>
            <a:gd name="connsiteX6" fmla="*/ 2616200 w 2616200"/>
            <a:gd name="connsiteY6" fmla="*/ 523874 h 1485899"/>
            <a:gd name="connsiteX7" fmla="*/ 2616200 w 2616200"/>
            <a:gd name="connsiteY7" fmla="*/ 1485899 h 1485899"/>
            <a:gd name="connsiteX8" fmla="*/ 1139825 w 2616200"/>
            <a:gd name="connsiteY8" fmla="*/ 1485899 h 1485899"/>
            <a:gd name="connsiteX9" fmla="*/ 120650 w 2616200"/>
            <a:gd name="connsiteY9" fmla="*/ 752474 h 1485899"/>
            <a:gd name="connsiteX0" fmla="*/ 120650 w 2616200"/>
            <a:gd name="connsiteY0" fmla="*/ 752474 h 1485899"/>
            <a:gd name="connsiteX1" fmla="*/ 558800 w 2616200"/>
            <a:gd name="connsiteY1" fmla="*/ 619125 h 1485899"/>
            <a:gd name="connsiteX2" fmla="*/ 977900 w 2616200"/>
            <a:gd name="connsiteY2" fmla="*/ 495300 h 1485899"/>
            <a:gd name="connsiteX3" fmla="*/ 1244600 w 2616200"/>
            <a:gd name="connsiteY3" fmla="*/ 361949 h 1485899"/>
            <a:gd name="connsiteX4" fmla="*/ 1635125 w 2616200"/>
            <a:gd name="connsiteY4" fmla="*/ 9525 h 1485899"/>
            <a:gd name="connsiteX5" fmla="*/ 1835150 w 2616200"/>
            <a:gd name="connsiteY5" fmla="*/ 304799 h 1485899"/>
            <a:gd name="connsiteX6" fmla="*/ 2616200 w 2616200"/>
            <a:gd name="connsiteY6" fmla="*/ 523874 h 1485899"/>
            <a:gd name="connsiteX7" fmla="*/ 2616200 w 2616200"/>
            <a:gd name="connsiteY7" fmla="*/ 1485899 h 1485899"/>
            <a:gd name="connsiteX8" fmla="*/ 1139825 w 2616200"/>
            <a:gd name="connsiteY8" fmla="*/ 1485899 h 1485899"/>
            <a:gd name="connsiteX9" fmla="*/ 120650 w 2616200"/>
            <a:gd name="connsiteY9" fmla="*/ 752474 h 1485899"/>
            <a:gd name="connsiteX0" fmla="*/ 120650 w 2616200"/>
            <a:gd name="connsiteY0" fmla="*/ 752474 h 1485899"/>
            <a:gd name="connsiteX1" fmla="*/ 558800 w 2616200"/>
            <a:gd name="connsiteY1" fmla="*/ 619125 h 1485899"/>
            <a:gd name="connsiteX2" fmla="*/ 977900 w 2616200"/>
            <a:gd name="connsiteY2" fmla="*/ 495300 h 1485899"/>
            <a:gd name="connsiteX3" fmla="*/ 1244600 w 2616200"/>
            <a:gd name="connsiteY3" fmla="*/ 361949 h 1485899"/>
            <a:gd name="connsiteX4" fmla="*/ 1635125 w 2616200"/>
            <a:gd name="connsiteY4" fmla="*/ 9525 h 1485899"/>
            <a:gd name="connsiteX5" fmla="*/ 1835150 w 2616200"/>
            <a:gd name="connsiteY5" fmla="*/ 304799 h 1485899"/>
            <a:gd name="connsiteX6" fmla="*/ 2616200 w 2616200"/>
            <a:gd name="connsiteY6" fmla="*/ 523874 h 1485899"/>
            <a:gd name="connsiteX7" fmla="*/ 2616200 w 2616200"/>
            <a:gd name="connsiteY7" fmla="*/ 1485899 h 1485899"/>
            <a:gd name="connsiteX8" fmla="*/ 1139825 w 2616200"/>
            <a:gd name="connsiteY8" fmla="*/ 1485899 h 1485899"/>
            <a:gd name="connsiteX9" fmla="*/ 120650 w 2616200"/>
            <a:gd name="connsiteY9" fmla="*/ 752474 h 1485899"/>
            <a:gd name="connsiteX0" fmla="*/ 120650 w 2616200"/>
            <a:gd name="connsiteY0" fmla="*/ 752474 h 1485899"/>
            <a:gd name="connsiteX1" fmla="*/ 558800 w 2616200"/>
            <a:gd name="connsiteY1" fmla="*/ 619125 h 1485899"/>
            <a:gd name="connsiteX2" fmla="*/ 463550 w 2616200"/>
            <a:gd name="connsiteY2" fmla="*/ 466725 h 1485899"/>
            <a:gd name="connsiteX3" fmla="*/ 977900 w 2616200"/>
            <a:gd name="connsiteY3" fmla="*/ 495300 h 1485899"/>
            <a:gd name="connsiteX4" fmla="*/ 1244600 w 2616200"/>
            <a:gd name="connsiteY4" fmla="*/ 361949 h 1485899"/>
            <a:gd name="connsiteX5" fmla="*/ 1635125 w 2616200"/>
            <a:gd name="connsiteY5" fmla="*/ 9525 h 1485899"/>
            <a:gd name="connsiteX6" fmla="*/ 1835150 w 2616200"/>
            <a:gd name="connsiteY6" fmla="*/ 304799 h 1485899"/>
            <a:gd name="connsiteX7" fmla="*/ 2616200 w 2616200"/>
            <a:gd name="connsiteY7" fmla="*/ 523874 h 1485899"/>
            <a:gd name="connsiteX8" fmla="*/ 2616200 w 2616200"/>
            <a:gd name="connsiteY8" fmla="*/ 1485899 h 1485899"/>
            <a:gd name="connsiteX9" fmla="*/ 1139825 w 2616200"/>
            <a:gd name="connsiteY9" fmla="*/ 1485899 h 1485899"/>
            <a:gd name="connsiteX10" fmla="*/ 120650 w 2616200"/>
            <a:gd name="connsiteY10" fmla="*/ 752474 h 1485899"/>
            <a:gd name="connsiteX0" fmla="*/ 120650 w 2616200"/>
            <a:gd name="connsiteY0" fmla="*/ 752474 h 1485899"/>
            <a:gd name="connsiteX1" fmla="*/ 349250 w 2616200"/>
            <a:gd name="connsiteY1" fmla="*/ 476250 h 1485899"/>
            <a:gd name="connsiteX2" fmla="*/ 463550 w 2616200"/>
            <a:gd name="connsiteY2" fmla="*/ 466725 h 1485899"/>
            <a:gd name="connsiteX3" fmla="*/ 977900 w 2616200"/>
            <a:gd name="connsiteY3" fmla="*/ 495300 h 1485899"/>
            <a:gd name="connsiteX4" fmla="*/ 1244600 w 2616200"/>
            <a:gd name="connsiteY4" fmla="*/ 361949 h 1485899"/>
            <a:gd name="connsiteX5" fmla="*/ 1635125 w 2616200"/>
            <a:gd name="connsiteY5" fmla="*/ 9525 h 1485899"/>
            <a:gd name="connsiteX6" fmla="*/ 1835150 w 2616200"/>
            <a:gd name="connsiteY6" fmla="*/ 304799 h 1485899"/>
            <a:gd name="connsiteX7" fmla="*/ 2616200 w 2616200"/>
            <a:gd name="connsiteY7" fmla="*/ 523874 h 1485899"/>
            <a:gd name="connsiteX8" fmla="*/ 2616200 w 2616200"/>
            <a:gd name="connsiteY8" fmla="*/ 1485899 h 1485899"/>
            <a:gd name="connsiteX9" fmla="*/ 1139825 w 2616200"/>
            <a:gd name="connsiteY9" fmla="*/ 1485899 h 1485899"/>
            <a:gd name="connsiteX10" fmla="*/ 120650 w 2616200"/>
            <a:gd name="connsiteY10" fmla="*/ 752474 h 1485899"/>
            <a:gd name="connsiteX0" fmla="*/ 120650 w 2616200"/>
            <a:gd name="connsiteY0" fmla="*/ 752474 h 1485899"/>
            <a:gd name="connsiteX1" fmla="*/ 349250 w 2616200"/>
            <a:gd name="connsiteY1" fmla="*/ 476250 h 1485899"/>
            <a:gd name="connsiteX2" fmla="*/ 463550 w 2616200"/>
            <a:gd name="connsiteY2" fmla="*/ 466725 h 1485899"/>
            <a:gd name="connsiteX3" fmla="*/ 977900 w 2616200"/>
            <a:gd name="connsiteY3" fmla="*/ 495300 h 1485899"/>
            <a:gd name="connsiteX4" fmla="*/ 1244600 w 2616200"/>
            <a:gd name="connsiteY4" fmla="*/ 361949 h 1485899"/>
            <a:gd name="connsiteX5" fmla="*/ 1635125 w 2616200"/>
            <a:gd name="connsiteY5" fmla="*/ 9525 h 1485899"/>
            <a:gd name="connsiteX6" fmla="*/ 1835150 w 2616200"/>
            <a:gd name="connsiteY6" fmla="*/ 304799 h 1485899"/>
            <a:gd name="connsiteX7" fmla="*/ 2616200 w 2616200"/>
            <a:gd name="connsiteY7" fmla="*/ 523874 h 1485899"/>
            <a:gd name="connsiteX8" fmla="*/ 2616200 w 2616200"/>
            <a:gd name="connsiteY8" fmla="*/ 1485899 h 1485899"/>
            <a:gd name="connsiteX9" fmla="*/ 1139825 w 2616200"/>
            <a:gd name="connsiteY9" fmla="*/ 1485899 h 1485899"/>
            <a:gd name="connsiteX10" fmla="*/ 606425 w 2616200"/>
            <a:gd name="connsiteY10" fmla="*/ 1476375 h 1485899"/>
            <a:gd name="connsiteX11" fmla="*/ 120650 w 2616200"/>
            <a:gd name="connsiteY11" fmla="*/ 752474 h 1485899"/>
            <a:gd name="connsiteX0" fmla="*/ 1019175 w 3514725"/>
            <a:gd name="connsiteY0" fmla="*/ 752474 h 1968500"/>
            <a:gd name="connsiteX1" fmla="*/ 1247775 w 3514725"/>
            <a:gd name="connsiteY1" fmla="*/ 476250 h 1968500"/>
            <a:gd name="connsiteX2" fmla="*/ 1362075 w 3514725"/>
            <a:gd name="connsiteY2" fmla="*/ 466725 h 1968500"/>
            <a:gd name="connsiteX3" fmla="*/ 1876425 w 3514725"/>
            <a:gd name="connsiteY3" fmla="*/ 495300 h 1968500"/>
            <a:gd name="connsiteX4" fmla="*/ 2143125 w 3514725"/>
            <a:gd name="connsiteY4" fmla="*/ 361949 h 1968500"/>
            <a:gd name="connsiteX5" fmla="*/ 2533650 w 3514725"/>
            <a:gd name="connsiteY5" fmla="*/ 9525 h 1968500"/>
            <a:gd name="connsiteX6" fmla="*/ 2733675 w 3514725"/>
            <a:gd name="connsiteY6" fmla="*/ 304799 h 1968500"/>
            <a:gd name="connsiteX7" fmla="*/ 3514725 w 3514725"/>
            <a:gd name="connsiteY7" fmla="*/ 523874 h 1968500"/>
            <a:gd name="connsiteX8" fmla="*/ 3514725 w 3514725"/>
            <a:gd name="connsiteY8" fmla="*/ 1485899 h 1968500"/>
            <a:gd name="connsiteX9" fmla="*/ 2038350 w 3514725"/>
            <a:gd name="connsiteY9" fmla="*/ 1485899 h 1968500"/>
            <a:gd name="connsiteX10" fmla="*/ 1504950 w 3514725"/>
            <a:gd name="connsiteY10" fmla="*/ 1476375 h 1968500"/>
            <a:gd name="connsiteX11" fmla="*/ 1019175 w 3514725"/>
            <a:gd name="connsiteY11" fmla="*/ 752474 h 1968500"/>
            <a:gd name="connsiteX0" fmla="*/ 1019175 w 3514725"/>
            <a:gd name="connsiteY0" fmla="*/ 752474 h 1968500"/>
            <a:gd name="connsiteX1" fmla="*/ 1162051 w 3514725"/>
            <a:gd name="connsiteY1" fmla="*/ 628649 h 1968500"/>
            <a:gd name="connsiteX2" fmla="*/ 1247775 w 3514725"/>
            <a:gd name="connsiteY2" fmla="*/ 476250 h 1968500"/>
            <a:gd name="connsiteX3" fmla="*/ 1362075 w 3514725"/>
            <a:gd name="connsiteY3" fmla="*/ 466725 h 1968500"/>
            <a:gd name="connsiteX4" fmla="*/ 1876425 w 3514725"/>
            <a:gd name="connsiteY4" fmla="*/ 495300 h 1968500"/>
            <a:gd name="connsiteX5" fmla="*/ 2143125 w 3514725"/>
            <a:gd name="connsiteY5" fmla="*/ 361949 h 1968500"/>
            <a:gd name="connsiteX6" fmla="*/ 2533650 w 3514725"/>
            <a:gd name="connsiteY6" fmla="*/ 9525 h 1968500"/>
            <a:gd name="connsiteX7" fmla="*/ 2733675 w 3514725"/>
            <a:gd name="connsiteY7" fmla="*/ 304799 h 1968500"/>
            <a:gd name="connsiteX8" fmla="*/ 3514725 w 3514725"/>
            <a:gd name="connsiteY8" fmla="*/ 523874 h 1968500"/>
            <a:gd name="connsiteX9" fmla="*/ 3514725 w 3514725"/>
            <a:gd name="connsiteY9" fmla="*/ 1485899 h 1968500"/>
            <a:gd name="connsiteX10" fmla="*/ 2038350 w 3514725"/>
            <a:gd name="connsiteY10" fmla="*/ 1485899 h 1968500"/>
            <a:gd name="connsiteX11" fmla="*/ 1504950 w 3514725"/>
            <a:gd name="connsiteY11" fmla="*/ 1476375 h 1968500"/>
            <a:gd name="connsiteX12" fmla="*/ 1019175 w 3514725"/>
            <a:gd name="connsiteY12" fmla="*/ 752474 h 1968500"/>
            <a:gd name="connsiteX0" fmla="*/ 1019175 w 3514725"/>
            <a:gd name="connsiteY0" fmla="*/ 752474 h 1968500"/>
            <a:gd name="connsiteX1" fmla="*/ 1162051 w 3514725"/>
            <a:gd name="connsiteY1" fmla="*/ 628649 h 1968500"/>
            <a:gd name="connsiteX2" fmla="*/ 1247775 w 3514725"/>
            <a:gd name="connsiteY2" fmla="*/ 476250 h 1968500"/>
            <a:gd name="connsiteX3" fmla="*/ 1362075 w 3514725"/>
            <a:gd name="connsiteY3" fmla="*/ 466725 h 1968500"/>
            <a:gd name="connsiteX4" fmla="*/ 1876425 w 3514725"/>
            <a:gd name="connsiteY4" fmla="*/ 495300 h 1968500"/>
            <a:gd name="connsiteX5" fmla="*/ 2143125 w 3514725"/>
            <a:gd name="connsiteY5" fmla="*/ 361949 h 1968500"/>
            <a:gd name="connsiteX6" fmla="*/ 2533650 w 3514725"/>
            <a:gd name="connsiteY6" fmla="*/ 9525 h 1968500"/>
            <a:gd name="connsiteX7" fmla="*/ 2733675 w 3514725"/>
            <a:gd name="connsiteY7" fmla="*/ 304799 h 1968500"/>
            <a:gd name="connsiteX8" fmla="*/ 3514725 w 3514725"/>
            <a:gd name="connsiteY8" fmla="*/ 523874 h 1968500"/>
            <a:gd name="connsiteX9" fmla="*/ 2714625 w 3514725"/>
            <a:gd name="connsiteY9" fmla="*/ 1057274 h 1968500"/>
            <a:gd name="connsiteX10" fmla="*/ 2038350 w 3514725"/>
            <a:gd name="connsiteY10" fmla="*/ 1485899 h 1968500"/>
            <a:gd name="connsiteX11" fmla="*/ 1504950 w 3514725"/>
            <a:gd name="connsiteY11" fmla="*/ 1476375 h 1968500"/>
            <a:gd name="connsiteX12" fmla="*/ 1019175 w 3514725"/>
            <a:gd name="connsiteY12" fmla="*/ 752474 h 1968500"/>
            <a:gd name="connsiteX0" fmla="*/ 1019175 w 3514725"/>
            <a:gd name="connsiteY0" fmla="*/ 752474 h 1968500"/>
            <a:gd name="connsiteX1" fmla="*/ 1162051 w 3514725"/>
            <a:gd name="connsiteY1" fmla="*/ 628649 h 1968500"/>
            <a:gd name="connsiteX2" fmla="*/ 1247775 w 3514725"/>
            <a:gd name="connsiteY2" fmla="*/ 476250 h 1968500"/>
            <a:gd name="connsiteX3" fmla="*/ 1362075 w 3514725"/>
            <a:gd name="connsiteY3" fmla="*/ 466725 h 1968500"/>
            <a:gd name="connsiteX4" fmla="*/ 1609725 w 3514725"/>
            <a:gd name="connsiteY4" fmla="*/ 200025 h 1968500"/>
            <a:gd name="connsiteX5" fmla="*/ 2143125 w 3514725"/>
            <a:gd name="connsiteY5" fmla="*/ 361949 h 1968500"/>
            <a:gd name="connsiteX6" fmla="*/ 2533650 w 3514725"/>
            <a:gd name="connsiteY6" fmla="*/ 9525 h 1968500"/>
            <a:gd name="connsiteX7" fmla="*/ 2733675 w 3514725"/>
            <a:gd name="connsiteY7" fmla="*/ 304799 h 1968500"/>
            <a:gd name="connsiteX8" fmla="*/ 3514725 w 3514725"/>
            <a:gd name="connsiteY8" fmla="*/ 523874 h 1968500"/>
            <a:gd name="connsiteX9" fmla="*/ 2714625 w 3514725"/>
            <a:gd name="connsiteY9" fmla="*/ 1057274 h 1968500"/>
            <a:gd name="connsiteX10" fmla="*/ 2038350 w 3514725"/>
            <a:gd name="connsiteY10" fmla="*/ 1485899 h 1968500"/>
            <a:gd name="connsiteX11" fmla="*/ 1504950 w 3514725"/>
            <a:gd name="connsiteY11" fmla="*/ 1476375 h 1968500"/>
            <a:gd name="connsiteX12" fmla="*/ 1019175 w 3514725"/>
            <a:gd name="connsiteY12" fmla="*/ 752474 h 1968500"/>
            <a:gd name="connsiteX0" fmla="*/ 1019175 w 3514725"/>
            <a:gd name="connsiteY0" fmla="*/ 1346199 h 2562225"/>
            <a:gd name="connsiteX1" fmla="*/ 1162051 w 3514725"/>
            <a:gd name="connsiteY1" fmla="*/ 1222374 h 2562225"/>
            <a:gd name="connsiteX2" fmla="*/ 1247775 w 3514725"/>
            <a:gd name="connsiteY2" fmla="*/ 1069975 h 2562225"/>
            <a:gd name="connsiteX3" fmla="*/ 1362075 w 3514725"/>
            <a:gd name="connsiteY3" fmla="*/ 1060450 h 2562225"/>
            <a:gd name="connsiteX4" fmla="*/ 1609725 w 3514725"/>
            <a:gd name="connsiteY4" fmla="*/ 793750 h 2562225"/>
            <a:gd name="connsiteX5" fmla="*/ 2143125 w 3514725"/>
            <a:gd name="connsiteY5" fmla="*/ 955674 h 2562225"/>
            <a:gd name="connsiteX6" fmla="*/ 2533650 w 3514725"/>
            <a:gd name="connsiteY6" fmla="*/ 603250 h 2562225"/>
            <a:gd name="connsiteX7" fmla="*/ 2733675 w 3514725"/>
            <a:gd name="connsiteY7" fmla="*/ 898524 h 2562225"/>
            <a:gd name="connsiteX8" fmla="*/ 3514725 w 3514725"/>
            <a:gd name="connsiteY8" fmla="*/ 1117599 h 2562225"/>
            <a:gd name="connsiteX9" fmla="*/ 2714625 w 3514725"/>
            <a:gd name="connsiteY9" fmla="*/ 1650999 h 2562225"/>
            <a:gd name="connsiteX10" fmla="*/ 2038350 w 3514725"/>
            <a:gd name="connsiteY10" fmla="*/ 2079624 h 2562225"/>
            <a:gd name="connsiteX11" fmla="*/ 1504950 w 3514725"/>
            <a:gd name="connsiteY11" fmla="*/ 2070100 h 2562225"/>
            <a:gd name="connsiteX12" fmla="*/ 1019175 w 3514725"/>
            <a:gd name="connsiteY12" fmla="*/ 1346199 h 2562225"/>
            <a:gd name="connsiteX0" fmla="*/ 1019175 w 3514725"/>
            <a:gd name="connsiteY0" fmla="*/ 1346199 h 2562225"/>
            <a:gd name="connsiteX1" fmla="*/ 1162051 w 3514725"/>
            <a:gd name="connsiteY1" fmla="*/ 1222374 h 2562225"/>
            <a:gd name="connsiteX2" fmla="*/ 1247775 w 3514725"/>
            <a:gd name="connsiteY2" fmla="*/ 1069975 h 2562225"/>
            <a:gd name="connsiteX3" fmla="*/ 1362075 w 3514725"/>
            <a:gd name="connsiteY3" fmla="*/ 1060450 h 2562225"/>
            <a:gd name="connsiteX4" fmla="*/ 1609725 w 3514725"/>
            <a:gd name="connsiteY4" fmla="*/ 793750 h 2562225"/>
            <a:gd name="connsiteX5" fmla="*/ 2143125 w 3514725"/>
            <a:gd name="connsiteY5" fmla="*/ 955674 h 2562225"/>
            <a:gd name="connsiteX6" fmla="*/ 2533650 w 3514725"/>
            <a:gd name="connsiteY6" fmla="*/ 603250 h 2562225"/>
            <a:gd name="connsiteX7" fmla="*/ 2733675 w 3514725"/>
            <a:gd name="connsiteY7" fmla="*/ 898524 h 2562225"/>
            <a:gd name="connsiteX8" fmla="*/ 3514725 w 3514725"/>
            <a:gd name="connsiteY8" fmla="*/ 1117599 h 2562225"/>
            <a:gd name="connsiteX9" fmla="*/ 2714625 w 3514725"/>
            <a:gd name="connsiteY9" fmla="*/ 1650999 h 2562225"/>
            <a:gd name="connsiteX10" fmla="*/ 2038350 w 3514725"/>
            <a:gd name="connsiteY10" fmla="*/ 2079624 h 2562225"/>
            <a:gd name="connsiteX11" fmla="*/ 1971676 w 3514725"/>
            <a:gd name="connsiteY11" fmla="*/ 2355850 h 2562225"/>
            <a:gd name="connsiteX12" fmla="*/ 1504950 w 3514725"/>
            <a:gd name="connsiteY12" fmla="*/ 2070100 h 2562225"/>
            <a:gd name="connsiteX13" fmla="*/ 1019175 w 3514725"/>
            <a:gd name="connsiteY13" fmla="*/ 1346199 h 2562225"/>
            <a:gd name="connsiteX0" fmla="*/ 1019175 w 3514725"/>
            <a:gd name="connsiteY0" fmla="*/ 1346199 h 2562225"/>
            <a:gd name="connsiteX1" fmla="*/ 1162051 w 3514725"/>
            <a:gd name="connsiteY1" fmla="*/ 1222374 h 2562225"/>
            <a:gd name="connsiteX2" fmla="*/ 1247775 w 3514725"/>
            <a:gd name="connsiteY2" fmla="*/ 1069975 h 2562225"/>
            <a:gd name="connsiteX3" fmla="*/ 1362075 w 3514725"/>
            <a:gd name="connsiteY3" fmla="*/ 1060450 h 2562225"/>
            <a:gd name="connsiteX4" fmla="*/ 1609725 w 3514725"/>
            <a:gd name="connsiteY4" fmla="*/ 793750 h 2562225"/>
            <a:gd name="connsiteX5" fmla="*/ 2143125 w 3514725"/>
            <a:gd name="connsiteY5" fmla="*/ 955674 h 2562225"/>
            <a:gd name="connsiteX6" fmla="*/ 2533650 w 3514725"/>
            <a:gd name="connsiteY6" fmla="*/ 603250 h 2562225"/>
            <a:gd name="connsiteX7" fmla="*/ 2733675 w 3514725"/>
            <a:gd name="connsiteY7" fmla="*/ 898524 h 2562225"/>
            <a:gd name="connsiteX8" fmla="*/ 3514725 w 3514725"/>
            <a:gd name="connsiteY8" fmla="*/ 1117599 h 2562225"/>
            <a:gd name="connsiteX9" fmla="*/ 2714625 w 3514725"/>
            <a:gd name="connsiteY9" fmla="*/ 1650999 h 2562225"/>
            <a:gd name="connsiteX10" fmla="*/ 2038350 w 3514725"/>
            <a:gd name="connsiteY10" fmla="*/ 2079624 h 2562225"/>
            <a:gd name="connsiteX11" fmla="*/ 1971676 w 3514725"/>
            <a:gd name="connsiteY11" fmla="*/ 2355850 h 2562225"/>
            <a:gd name="connsiteX12" fmla="*/ 1504950 w 3514725"/>
            <a:gd name="connsiteY12" fmla="*/ 2070100 h 2562225"/>
            <a:gd name="connsiteX13" fmla="*/ 1019175 w 3514725"/>
            <a:gd name="connsiteY13" fmla="*/ 1346199 h 2562225"/>
            <a:gd name="connsiteX0" fmla="*/ 1019175 w 3514725"/>
            <a:gd name="connsiteY0" fmla="*/ 1346199 h 2562225"/>
            <a:gd name="connsiteX1" fmla="*/ 1162051 w 3514725"/>
            <a:gd name="connsiteY1" fmla="*/ 1222374 h 2562225"/>
            <a:gd name="connsiteX2" fmla="*/ 1247775 w 3514725"/>
            <a:gd name="connsiteY2" fmla="*/ 1069975 h 2562225"/>
            <a:gd name="connsiteX3" fmla="*/ 1362075 w 3514725"/>
            <a:gd name="connsiteY3" fmla="*/ 1060450 h 2562225"/>
            <a:gd name="connsiteX4" fmla="*/ 1609725 w 3514725"/>
            <a:gd name="connsiteY4" fmla="*/ 793750 h 2562225"/>
            <a:gd name="connsiteX5" fmla="*/ 2143125 w 3514725"/>
            <a:gd name="connsiteY5" fmla="*/ 955674 h 2562225"/>
            <a:gd name="connsiteX6" fmla="*/ 2533650 w 3514725"/>
            <a:gd name="connsiteY6" fmla="*/ 603250 h 2562225"/>
            <a:gd name="connsiteX7" fmla="*/ 2733675 w 3514725"/>
            <a:gd name="connsiteY7" fmla="*/ 898524 h 2562225"/>
            <a:gd name="connsiteX8" fmla="*/ 3514725 w 3514725"/>
            <a:gd name="connsiteY8" fmla="*/ 1117599 h 2562225"/>
            <a:gd name="connsiteX9" fmla="*/ 2714625 w 3514725"/>
            <a:gd name="connsiteY9" fmla="*/ 1650999 h 2562225"/>
            <a:gd name="connsiteX10" fmla="*/ 2038350 w 3514725"/>
            <a:gd name="connsiteY10" fmla="*/ 2079624 h 2562225"/>
            <a:gd name="connsiteX11" fmla="*/ 1971676 w 3514725"/>
            <a:gd name="connsiteY11" fmla="*/ 2355850 h 2562225"/>
            <a:gd name="connsiteX12" fmla="*/ 1504950 w 3514725"/>
            <a:gd name="connsiteY12" fmla="*/ 2070100 h 2562225"/>
            <a:gd name="connsiteX13" fmla="*/ 1019175 w 3514725"/>
            <a:gd name="connsiteY13" fmla="*/ 1346199 h 2562225"/>
            <a:gd name="connsiteX0" fmla="*/ 1085850 w 3581400"/>
            <a:gd name="connsiteY0" fmla="*/ 1346199 h 2819400"/>
            <a:gd name="connsiteX1" fmla="*/ 1228726 w 3581400"/>
            <a:gd name="connsiteY1" fmla="*/ 1222374 h 2819400"/>
            <a:gd name="connsiteX2" fmla="*/ 1314450 w 3581400"/>
            <a:gd name="connsiteY2" fmla="*/ 1069975 h 2819400"/>
            <a:gd name="connsiteX3" fmla="*/ 1428750 w 3581400"/>
            <a:gd name="connsiteY3" fmla="*/ 1060450 h 2819400"/>
            <a:gd name="connsiteX4" fmla="*/ 1676400 w 3581400"/>
            <a:gd name="connsiteY4" fmla="*/ 793750 h 2819400"/>
            <a:gd name="connsiteX5" fmla="*/ 2209800 w 3581400"/>
            <a:gd name="connsiteY5" fmla="*/ 955674 h 2819400"/>
            <a:gd name="connsiteX6" fmla="*/ 2600325 w 3581400"/>
            <a:gd name="connsiteY6" fmla="*/ 603250 h 2819400"/>
            <a:gd name="connsiteX7" fmla="*/ 2800350 w 3581400"/>
            <a:gd name="connsiteY7" fmla="*/ 898524 h 2819400"/>
            <a:gd name="connsiteX8" fmla="*/ 3581400 w 3581400"/>
            <a:gd name="connsiteY8" fmla="*/ 1117599 h 2819400"/>
            <a:gd name="connsiteX9" fmla="*/ 2781300 w 3581400"/>
            <a:gd name="connsiteY9" fmla="*/ 1650999 h 2819400"/>
            <a:gd name="connsiteX10" fmla="*/ 2105025 w 3581400"/>
            <a:gd name="connsiteY10" fmla="*/ 2079624 h 2819400"/>
            <a:gd name="connsiteX11" fmla="*/ 2038351 w 3581400"/>
            <a:gd name="connsiteY11" fmla="*/ 2355850 h 2819400"/>
            <a:gd name="connsiteX12" fmla="*/ 1504950 w 3581400"/>
            <a:gd name="connsiteY12" fmla="*/ 2327275 h 2819400"/>
            <a:gd name="connsiteX13" fmla="*/ 1085850 w 3581400"/>
            <a:gd name="connsiteY13" fmla="*/ 1346199 h 2819400"/>
            <a:gd name="connsiteX0" fmla="*/ 1085850 w 3581400"/>
            <a:gd name="connsiteY0" fmla="*/ 1346199 h 2819400"/>
            <a:gd name="connsiteX1" fmla="*/ 1228726 w 3581400"/>
            <a:gd name="connsiteY1" fmla="*/ 1222374 h 2819400"/>
            <a:gd name="connsiteX2" fmla="*/ 1314450 w 3581400"/>
            <a:gd name="connsiteY2" fmla="*/ 1069975 h 2819400"/>
            <a:gd name="connsiteX3" fmla="*/ 1428750 w 3581400"/>
            <a:gd name="connsiteY3" fmla="*/ 1060450 h 2819400"/>
            <a:gd name="connsiteX4" fmla="*/ 1676400 w 3581400"/>
            <a:gd name="connsiteY4" fmla="*/ 793750 h 2819400"/>
            <a:gd name="connsiteX5" fmla="*/ 2209800 w 3581400"/>
            <a:gd name="connsiteY5" fmla="*/ 955674 h 2819400"/>
            <a:gd name="connsiteX6" fmla="*/ 2600325 w 3581400"/>
            <a:gd name="connsiteY6" fmla="*/ 603250 h 2819400"/>
            <a:gd name="connsiteX7" fmla="*/ 2800350 w 3581400"/>
            <a:gd name="connsiteY7" fmla="*/ 898524 h 2819400"/>
            <a:gd name="connsiteX8" fmla="*/ 3581400 w 3581400"/>
            <a:gd name="connsiteY8" fmla="*/ 1117599 h 2819400"/>
            <a:gd name="connsiteX9" fmla="*/ 2781300 w 3581400"/>
            <a:gd name="connsiteY9" fmla="*/ 1650999 h 2819400"/>
            <a:gd name="connsiteX10" fmla="*/ 2105025 w 3581400"/>
            <a:gd name="connsiteY10" fmla="*/ 2079624 h 2819400"/>
            <a:gd name="connsiteX11" fmla="*/ 2638426 w 3581400"/>
            <a:gd name="connsiteY11" fmla="*/ 2460624 h 2819400"/>
            <a:gd name="connsiteX12" fmla="*/ 2038351 w 3581400"/>
            <a:gd name="connsiteY12" fmla="*/ 2355850 h 2819400"/>
            <a:gd name="connsiteX13" fmla="*/ 1504950 w 3581400"/>
            <a:gd name="connsiteY13" fmla="*/ 2327275 h 2819400"/>
            <a:gd name="connsiteX14" fmla="*/ 1085850 w 3581400"/>
            <a:gd name="connsiteY14" fmla="*/ 1346199 h 2819400"/>
            <a:gd name="connsiteX0" fmla="*/ 1085850 w 3581400"/>
            <a:gd name="connsiteY0" fmla="*/ 1346199 h 2819400"/>
            <a:gd name="connsiteX1" fmla="*/ 1228726 w 3581400"/>
            <a:gd name="connsiteY1" fmla="*/ 1222374 h 2819400"/>
            <a:gd name="connsiteX2" fmla="*/ 1314450 w 3581400"/>
            <a:gd name="connsiteY2" fmla="*/ 1069975 h 2819400"/>
            <a:gd name="connsiteX3" fmla="*/ 1428750 w 3581400"/>
            <a:gd name="connsiteY3" fmla="*/ 1060450 h 2819400"/>
            <a:gd name="connsiteX4" fmla="*/ 1676400 w 3581400"/>
            <a:gd name="connsiteY4" fmla="*/ 793750 h 2819400"/>
            <a:gd name="connsiteX5" fmla="*/ 2209800 w 3581400"/>
            <a:gd name="connsiteY5" fmla="*/ 955674 h 2819400"/>
            <a:gd name="connsiteX6" fmla="*/ 2600325 w 3581400"/>
            <a:gd name="connsiteY6" fmla="*/ 603250 h 2819400"/>
            <a:gd name="connsiteX7" fmla="*/ 2800350 w 3581400"/>
            <a:gd name="connsiteY7" fmla="*/ 898524 h 2819400"/>
            <a:gd name="connsiteX8" fmla="*/ 3581400 w 3581400"/>
            <a:gd name="connsiteY8" fmla="*/ 1117599 h 2819400"/>
            <a:gd name="connsiteX9" fmla="*/ 2781300 w 3581400"/>
            <a:gd name="connsiteY9" fmla="*/ 1650999 h 2819400"/>
            <a:gd name="connsiteX10" fmla="*/ 2105025 w 3581400"/>
            <a:gd name="connsiteY10" fmla="*/ 2079624 h 2819400"/>
            <a:gd name="connsiteX11" fmla="*/ 2667001 w 3581400"/>
            <a:gd name="connsiteY11" fmla="*/ 2089149 h 2819400"/>
            <a:gd name="connsiteX12" fmla="*/ 2638426 w 3581400"/>
            <a:gd name="connsiteY12" fmla="*/ 2460624 h 2819400"/>
            <a:gd name="connsiteX13" fmla="*/ 2038351 w 3581400"/>
            <a:gd name="connsiteY13" fmla="*/ 2355850 h 2819400"/>
            <a:gd name="connsiteX14" fmla="*/ 1504950 w 3581400"/>
            <a:gd name="connsiteY14" fmla="*/ 2327275 h 2819400"/>
            <a:gd name="connsiteX15" fmla="*/ 1085850 w 3581400"/>
            <a:gd name="connsiteY15" fmla="*/ 1346199 h 2819400"/>
            <a:gd name="connsiteX0" fmla="*/ 1085850 w 3581400"/>
            <a:gd name="connsiteY0" fmla="*/ 1346199 h 2819400"/>
            <a:gd name="connsiteX1" fmla="*/ 1228726 w 3581400"/>
            <a:gd name="connsiteY1" fmla="*/ 1222374 h 2819400"/>
            <a:gd name="connsiteX2" fmla="*/ 1314450 w 3581400"/>
            <a:gd name="connsiteY2" fmla="*/ 1069975 h 2819400"/>
            <a:gd name="connsiteX3" fmla="*/ 1428750 w 3581400"/>
            <a:gd name="connsiteY3" fmla="*/ 1060450 h 2819400"/>
            <a:gd name="connsiteX4" fmla="*/ 1676400 w 3581400"/>
            <a:gd name="connsiteY4" fmla="*/ 793750 h 2819400"/>
            <a:gd name="connsiteX5" fmla="*/ 2209800 w 3581400"/>
            <a:gd name="connsiteY5" fmla="*/ 955674 h 2819400"/>
            <a:gd name="connsiteX6" fmla="*/ 2600325 w 3581400"/>
            <a:gd name="connsiteY6" fmla="*/ 603250 h 2819400"/>
            <a:gd name="connsiteX7" fmla="*/ 2800350 w 3581400"/>
            <a:gd name="connsiteY7" fmla="*/ 898524 h 2819400"/>
            <a:gd name="connsiteX8" fmla="*/ 3581400 w 3581400"/>
            <a:gd name="connsiteY8" fmla="*/ 1117599 h 2819400"/>
            <a:gd name="connsiteX9" fmla="*/ 2781300 w 3581400"/>
            <a:gd name="connsiteY9" fmla="*/ 1650999 h 2819400"/>
            <a:gd name="connsiteX10" fmla="*/ 2105025 w 3581400"/>
            <a:gd name="connsiteY10" fmla="*/ 2079624 h 2819400"/>
            <a:gd name="connsiteX11" fmla="*/ 2209801 w 3581400"/>
            <a:gd name="connsiteY11" fmla="*/ 2051049 h 2819400"/>
            <a:gd name="connsiteX12" fmla="*/ 2667001 w 3581400"/>
            <a:gd name="connsiteY12" fmla="*/ 2089149 h 2819400"/>
            <a:gd name="connsiteX13" fmla="*/ 2638426 w 3581400"/>
            <a:gd name="connsiteY13" fmla="*/ 2460624 h 2819400"/>
            <a:gd name="connsiteX14" fmla="*/ 2038351 w 3581400"/>
            <a:gd name="connsiteY14" fmla="*/ 2355850 h 2819400"/>
            <a:gd name="connsiteX15" fmla="*/ 1504950 w 3581400"/>
            <a:gd name="connsiteY15" fmla="*/ 2327275 h 2819400"/>
            <a:gd name="connsiteX16" fmla="*/ 1085850 w 3581400"/>
            <a:gd name="connsiteY16" fmla="*/ 1346199 h 28194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3581400" h="2819400">
              <a:moveTo>
                <a:pt x="1085850" y="1346199"/>
              </a:moveTo>
              <a:cubicBezTo>
                <a:pt x="1001713" y="1168399"/>
                <a:pt x="1190626" y="1268411"/>
                <a:pt x="1228726" y="1222374"/>
              </a:cubicBezTo>
              <a:cubicBezTo>
                <a:pt x="1266826" y="1176337"/>
                <a:pt x="1254125" y="1060450"/>
                <a:pt x="1314450" y="1069975"/>
              </a:cubicBezTo>
              <a:cubicBezTo>
                <a:pt x="1385887" y="1046163"/>
                <a:pt x="1368425" y="1106487"/>
                <a:pt x="1428750" y="1060450"/>
              </a:cubicBezTo>
              <a:cubicBezTo>
                <a:pt x="1489075" y="1014413"/>
                <a:pt x="1560513" y="835025"/>
                <a:pt x="1676400" y="793750"/>
              </a:cubicBezTo>
              <a:cubicBezTo>
                <a:pt x="2159000" y="0"/>
                <a:pt x="2032000" y="901699"/>
                <a:pt x="2209800" y="955674"/>
              </a:cubicBezTo>
              <a:cubicBezTo>
                <a:pt x="2422525" y="849312"/>
                <a:pt x="2501900" y="612775"/>
                <a:pt x="2600325" y="603250"/>
              </a:cubicBezTo>
              <a:cubicBezTo>
                <a:pt x="2698750" y="593725"/>
                <a:pt x="2597150" y="830262"/>
                <a:pt x="2800350" y="898524"/>
              </a:cubicBezTo>
              <a:lnTo>
                <a:pt x="3581400" y="1117599"/>
              </a:lnTo>
              <a:lnTo>
                <a:pt x="2781300" y="1650999"/>
              </a:lnTo>
              <a:lnTo>
                <a:pt x="2105025" y="2079624"/>
              </a:lnTo>
              <a:cubicBezTo>
                <a:pt x="2008188" y="2154236"/>
                <a:pt x="2116138" y="2049462"/>
                <a:pt x="2209801" y="2051049"/>
              </a:cubicBezTo>
              <a:cubicBezTo>
                <a:pt x="2303464" y="2052637"/>
                <a:pt x="2595564" y="2020887"/>
                <a:pt x="2667001" y="2089149"/>
              </a:cubicBezTo>
              <a:cubicBezTo>
                <a:pt x="2738439" y="2157412"/>
                <a:pt x="2743201" y="2416174"/>
                <a:pt x="2638426" y="2460624"/>
              </a:cubicBezTo>
              <a:cubicBezTo>
                <a:pt x="2533651" y="2505074"/>
                <a:pt x="2141539" y="2343150"/>
                <a:pt x="2038351" y="2355850"/>
              </a:cubicBezTo>
              <a:cubicBezTo>
                <a:pt x="1797051" y="2336800"/>
                <a:pt x="1660525" y="2422525"/>
                <a:pt x="1504950" y="2327275"/>
              </a:cubicBezTo>
              <a:cubicBezTo>
                <a:pt x="0" y="2819400"/>
                <a:pt x="1247775" y="1587499"/>
                <a:pt x="1085850" y="1346199"/>
              </a:cubicBezTo>
              <a:close/>
            </a:path>
          </a:pathLst>
        </a:cu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B</a:t>
          </a:r>
        </a:p>
      </xdr:txBody>
    </xdr:sp>
    <xdr:clientData/>
  </xdr:twoCellAnchor>
  <xdr:twoCellAnchor>
    <xdr:from>
      <xdr:col>40</xdr:col>
      <xdr:colOff>3176</xdr:colOff>
      <xdr:row>60</xdr:row>
      <xdr:rowOff>3177</xdr:rowOff>
    </xdr:from>
    <xdr:to>
      <xdr:col>44</xdr:col>
      <xdr:colOff>617539</xdr:colOff>
      <xdr:row>70</xdr:row>
      <xdr:rowOff>171452</xdr:rowOff>
    </xdr:to>
    <xdr:sp macro="" textlink="">
      <xdr:nvSpPr>
        <xdr:cNvPr id="18" name="A_Area"/>
        <xdr:cNvSpPr/>
      </xdr:nvSpPr>
      <xdr:spPr>
        <a:xfrm>
          <a:off x="27435176" y="11118852"/>
          <a:ext cx="3357563" cy="1978025"/>
        </a:xfrm>
        <a:custGeom>
          <a:avLst/>
          <a:gdLst>
            <a:gd name="connsiteX0" fmla="*/ 0 w 1724025"/>
            <a:gd name="connsiteY0" fmla="*/ 0 h 952500"/>
            <a:gd name="connsiteX1" fmla="*/ 1724025 w 1724025"/>
            <a:gd name="connsiteY1" fmla="*/ 0 h 952500"/>
            <a:gd name="connsiteX2" fmla="*/ 1724025 w 1724025"/>
            <a:gd name="connsiteY2" fmla="*/ 952500 h 952500"/>
            <a:gd name="connsiteX3" fmla="*/ 0 w 1724025"/>
            <a:gd name="connsiteY3" fmla="*/ 952500 h 952500"/>
            <a:gd name="connsiteX4" fmla="*/ 0 w 1724025"/>
            <a:gd name="connsiteY4" fmla="*/ 0 h 952500"/>
            <a:gd name="connsiteX0" fmla="*/ 0 w 1724025"/>
            <a:gd name="connsiteY0" fmla="*/ 0 h 952500"/>
            <a:gd name="connsiteX1" fmla="*/ 1724025 w 1724025"/>
            <a:gd name="connsiteY1" fmla="*/ 0 h 952500"/>
            <a:gd name="connsiteX2" fmla="*/ 1724025 w 1724025"/>
            <a:gd name="connsiteY2" fmla="*/ 952500 h 952500"/>
            <a:gd name="connsiteX3" fmla="*/ 819150 w 1724025"/>
            <a:gd name="connsiteY3" fmla="*/ 409575 h 952500"/>
            <a:gd name="connsiteX4" fmla="*/ 0 w 1724025"/>
            <a:gd name="connsiteY4" fmla="*/ 0 h 952500"/>
            <a:gd name="connsiteX0" fmla="*/ 0 w 1895475"/>
            <a:gd name="connsiteY0" fmla="*/ 266700 h 1219200"/>
            <a:gd name="connsiteX1" fmla="*/ 1724025 w 1895475"/>
            <a:gd name="connsiteY1" fmla="*/ 266700 h 1219200"/>
            <a:gd name="connsiteX2" fmla="*/ 1895475 w 1895475"/>
            <a:gd name="connsiteY2" fmla="*/ 0 h 1219200"/>
            <a:gd name="connsiteX3" fmla="*/ 1724025 w 1895475"/>
            <a:gd name="connsiteY3" fmla="*/ 1219200 h 1219200"/>
            <a:gd name="connsiteX4" fmla="*/ 819150 w 1895475"/>
            <a:gd name="connsiteY4" fmla="*/ 676275 h 1219200"/>
            <a:gd name="connsiteX5" fmla="*/ 0 w 1895475"/>
            <a:gd name="connsiteY5" fmla="*/ 266700 h 1219200"/>
            <a:gd name="connsiteX0" fmla="*/ 0 w 1895475"/>
            <a:gd name="connsiteY0" fmla="*/ 266700 h 1219200"/>
            <a:gd name="connsiteX1" fmla="*/ 1724025 w 1895475"/>
            <a:gd name="connsiteY1" fmla="*/ 266700 h 1219200"/>
            <a:gd name="connsiteX2" fmla="*/ 1590675 w 1895475"/>
            <a:gd name="connsiteY2" fmla="*/ 95250 h 1219200"/>
            <a:gd name="connsiteX3" fmla="*/ 1895475 w 1895475"/>
            <a:gd name="connsiteY3" fmla="*/ 0 h 1219200"/>
            <a:gd name="connsiteX4" fmla="*/ 1724025 w 1895475"/>
            <a:gd name="connsiteY4" fmla="*/ 1219200 h 1219200"/>
            <a:gd name="connsiteX5" fmla="*/ 819150 w 1895475"/>
            <a:gd name="connsiteY5" fmla="*/ 676275 h 1219200"/>
            <a:gd name="connsiteX6" fmla="*/ 0 w 1895475"/>
            <a:gd name="connsiteY6" fmla="*/ 266700 h 1219200"/>
            <a:gd name="connsiteX0" fmla="*/ 0 w 3152775"/>
            <a:gd name="connsiteY0" fmla="*/ 266700 h 1219200"/>
            <a:gd name="connsiteX1" fmla="*/ 1724025 w 3152775"/>
            <a:gd name="connsiteY1" fmla="*/ 266700 h 1219200"/>
            <a:gd name="connsiteX2" fmla="*/ 1590675 w 3152775"/>
            <a:gd name="connsiteY2" fmla="*/ 95250 h 1219200"/>
            <a:gd name="connsiteX3" fmla="*/ 1895475 w 3152775"/>
            <a:gd name="connsiteY3" fmla="*/ 0 h 1219200"/>
            <a:gd name="connsiteX4" fmla="*/ 3152775 w 3152775"/>
            <a:gd name="connsiteY4" fmla="*/ 723900 h 1219200"/>
            <a:gd name="connsiteX5" fmla="*/ 1724025 w 3152775"/>
            <a:gd name="connsiteY5" fmla="*/ 1219200 h 1219200"/>
            <a:gd name="connsiteX6" fmla="*/ 819150 w 3152775"/>
            <a:gd name="connsiteY6" fmla="*/ 676275 h 1219200"/>
            <a:gd name="connsiteX7" fmla="*/ 0 w 3152775"/>
            <a:gd name="connsiteY7" fmla="*/ 266700 h 1219200"/>
            <a:gd name="connsiteX0" fmla="*/ 0 w 3152775"/>
            <a:gd name="connsiteY0" fmla="*/ 266700 h 1228725"/>
            <a:gd name="connsiteX1" fmla="*/ 1724025 w 3152775"/>
            <a:gd name="connsiteY1" fmla="*/ 266700 h 1228725"/>
            <a:gd name="connsiteX2" fmla="*/ 1590675 w 3152775"/>
            <a:gd name="connsiteY2" fmla="*/ 95250 h 1228725"/>
            <a:gd name="connsiteX3" fmla="*/ 1895475 w 3152775"/>
            <a:gd name="connsiteY3" fmla="*/ 0 h 1228725"/>
            <a:gd name="connsiteX4" fmla="*/ 3152775 w 3152775"/>
            <a:gd name="connsiteY4" fmla="*/ 723900 h 1228725"/>
            <a:gd name="connsiteX5" fmla="*/ 2486025 w 3152775"/>
            <a:gd name="connsiteY5" fmla="*/ 1228725 h 1228725"/>
            <a:gd name="connsiteX6" fmla="*/ 1724025 w 3152775"/>
            <a:gd name="connsiteY6" fmla="*/ 1219200 h 1228725"/>
            <a:gd name="connsiteX7" fmla="*/ 819150 w 3152775"/>
            <a:gd name="connsiteY7" fmla="*/ 676275 h 1228725"/>
            <a:gd name="connsiteX8" fmla="*/ 0 w 3152775"/>
            <a:gd name="connsiteY8" fmla="*/ 266700 h 1228725"/>
            <a:gd name="connsiteX0" fmla="*/ 0 w 3152775"/>
            <a:gd name="connsiteY0" fmla="*/ 266700 h 1228725"/>
            <a:gd name="connsiteX1" fmla="*/ 1724025 w 3152775"/>
            <a:gd name="connsiteY1" fmla="*/ 266700 h 1228725"/>
            <a:gd name="connsiteX2" fmla="*/ 1590675 w 3152775"/>
            <a:gd name="connsiteY2" fmla="*/ 95250 h 1228725"/>
            <a:gd name="connsiteX3" fmla="*/ 1895475 w 3152775"/>
            <a:gd name="connsiteY3" fmla="*/ 0 h 1228725"/>
            <a:gd name="connsiteX4" fmla="*/ 3152775 w 3152775"/>
            <a:gd name="connsiteY4" fmla="*/ 723900 h 1228725"/>
            <a:gd name="connsiteX5" fmla="*/ 2486025 w 3152775"/>
            <a:gd name="connsiteY5" fmla="*/ 1228725 h 1228725"/>
            <a:gd name="connsiteX6" fmla="*/ 1724025 w 3152775"/>
            <a:gd name="connsiteY6" fmla="*/ 1219200 h 1228725"/>
            <a:gd name="connsiteX7" fmla="*/ 819150 w 3152775"/>
            <a:gd name="connsiteY7" fmla="*/ 676275 h 1228725"/>
            <a:gd name="connsiteX8" fmla="*/ 0 w 3152775"/>
            <a:gd name="connsiteY8" fmla="*/ 266700 h 1228725"/>
            <a:gd name="connsiteX0" fmla="*/ 0 w 3152775"/>
            <a:gd name="connsiteY0" fmla="*/ 266700 h 1454150"/>
            <a:gd name="connsiteX1" fmla="*/ 1724025 w 3152775"/>
            <a:gd name="connsiteY1" fmla="*/ 266700 h 1454150"/>
            <a:gd name="connsiteX2" fmla="*/ 1590675 w 3152775"/>
            <a:gd name="connsiteY2" fmla="*/ 95250 h 1454150"/>
            <a:gd name="connsiteX3" fmla="*/ 1895475 w 3152775"/>
            <a:gd name="connsiteY3" fmla="*/ 0 h 1454150"/>
            <a:gd name="connsiteX4" fmla="*/ 3152775 w 3152775"/>
            <a:gd name="connsiteY4" fmla="*/ 723900 h 1454150"/>
            <a:gd name="connsiteX5" fmla="*/ 2486025 w 3152775"/>
            <a:gd name="connsiteY5" fmla="*/ 1228725 h 1454150"/>
            <a:gd name="connsiteX6" fmla="*/ 1724025 w 3152775"/>
            <a:gd name="connsiteY6" fmla="*/ 1219200 h 1454150"/>
            <a:gd name="connsiteX7" fmla="*/ 819150 w 3152775"/>
            <a:gd name="connsiteY7" fmla="*/ 676275 h 1454150"/>
            <a:gd name="connsiteX8" fmla="*/ 0 w 3152775"/>
            <a:gd name="connsiteY8" fmla="*/ 266700 h 1454150"/>
            <a:gd name="connsiteX0" fmla="*/ 0 w 3152775"/>
            <a:gd name="connsiteY0" fmla="*/ 266700 h 1316036"/>
            <a:gd name="connsiteX1" fmla="*/ 1724025 w 3152775"/>
            <a:gd name="connsiteY1" fmla="*/ 266700 h 1316036"/>
            <a:gd name="connsiteX2" fmla="*/ 1590675 w 3152775"/>
            <a:gd name="connsiteY2" fmla="*/ 95250 h 1316036"/>
            <a:gd name="connsiteX3" fmla="*/ 1895475 w 3152775"/>
            <a:gd name="connsiteY3" fmla="*/ 0 h 1316036"/>
            <a:gd name="connsiteX4" fmla="*/ 3152775 w 3152775"/>
            <a:gd name="connsiteY4" fmla="*/ 723900 h 1316036"/>
            <a:gd name="connsiteX5" fmla="*/ 2486025 w 3152775"/>
            <a:gd name="connsiteY5" fmla="*/ 1228725 h 1316036"/>
            <a:gd name="connsiteX6" fmla="*/ 2543175 w 3152775"/>
            <a:gd name="connsiteY6" fmla="*/ 1314449 h 1316036"/>
            <a:gd name="connsiteX7" fmla="*/ 1724025 w 3152775"/>
            <a:gd name="connsiteY7" fmla="*/ 1219200 h 1316036"/>
            <a:gd name="connsiteX8" fmla="*/ 819150 w 3152775"/>
            <a:gd name="connsiteY8" fmla="*/ 676275 h 1316036"/>
            <a:gd name="connsiteX9" fmla="*/ 0 w 3152775"/>
            <a:gd name="connsiteY9" fmla="*/ 266700 h 1316036"/>
            <a:gd name="connsiteX0" fmla="*/ 0 w 3152775"/>
            <a:gd name="connsiteY0" fmla="*/ 266700 h 1436687"/>
            <a:gd name="connsiteX1" fmla="*/ 1724025 w 3152775"/>
            <a:gd name="connsiteY1" fmla="*/ 266700 h 1436687"/>
            <a:gd name="connsiteX2" fmla="*/ 1590675 w 3152775"/>
            <a:gd name="connsiteY2" fmla="*/ 95250 h 1436687"/>
            <a:gd name="connsiteX3" fmla="*/ 1895475 w 3152775"/>
            <a:gd name="connsiteY3" fmla="*/ 0 h 1436687"/>
            <a:gd name="connsiteX4" fmla="*/ 3152775 w 3152775"/>
            <a:gd name="connsiteY4" fmla="*/ 723900 h 1436687"/>
            <a:gd name="connsiteX5" fmla="*/ 2686050 w 3152775"/>
            <a:gd name="connsiteY5" fmla="*/ 1352550 h 1436687"/>
            <a:gd name="connsiteX6" fmla="*/ 2543175 w 3152775"/>
            <a:gd name="connsiteY6" fmla="*/ 1314449 h 1436687"/>
            <a:gd name="connsiteX7" fmla="*/ 1724025 w 3152775"/>
            <a:gd name="connsiteY7" fmla="*/ 1219200 h 1436687"/>
            <a:gd name="connsiteX8" fmla="*/ 819150 w 3152775"/>
            <a:gd name="connsiteY8" fmla="*/ 676275 h 1436687"/>
            <a:gd name="connsiteX9" fmla="*/ 0 w 3152775"/>
            <a:gd name="connsiteY9" fmla="*/ 266700 h 1436687"/>
            <a:gd name="connsiteX0" fmla="*/ 0 w 3152775"/>
            <a:gd name="connsiteY0" fmla="*/ 266700 h 1758949"/>
            <a:gd name="connsiteX1" fmla="*/ 1724025 w 3152775"/>
            <a:gd name="connsiteY1" fmla="*/ 266700 h 1758949"/>
            <a:gd name="connsiteX2" fmla="*/ 1590675 w 3152775"/>
            <a:gd name="connsiteY2" fmla="*/ 95250 h 1758949"/>
            <a:gd name="connsiteX3" fmla="*/ 1895475 w 3152775"/>
            <a:gd name="connsiteY3" fmla="*/ 0 h 1758949"/>
            <a:gd name="connsiteX4" fmla="*/ 3152775 w 3152775"/>
            <a:gd name="connsiteY4" fmla="*/ 723900 h 1758949"/>
            <a:gd name="connsiteX5" fmla="*/ 2686050 w 3152775"/>
            <a:gd name="connsiteY5" fmla="*/ 1352550 h 1758949"/>
            <a:gd name="connsiteX6" fmla="*/ 2543175 w 3152775"/>
            <a:gd name="connsiteY6" fmla="*/ 1314449 h 1758949"/>
            <a:gd name="connsiteX7" fmla="*/ 1276350 w 3152775"/>
            <a:gd name="connsiteY7" fmla="*/ 1743074 h 1758949"/>
            <a:gd name="connsiteX8" fmla="*/ 1724025 w 3152775"/>
            <a:gd name="connsiteY8" fmla="*/ 1219200 h 1758949"/>
            <a:gd name="connsiteX9" fmla="*/ 819150 w 3152775"/>
            <a:gd name="connsiteY9" fmla="*/ 676275 h 1758949"/>
            <a:gd name="connsiteX10" fmla="*/ 0 w 3152775"/>
            <a:gd name="connsiteY10" fmla="*/ 266700 h 1758949"/>
            <a:gd name="connsiteX0" fmla="*/ 0 w 3152775"/>
            <a:gd name="connsiteY0" fmla="*/ 266700 h 1795461"/>
            <a:gd name="connsiteX1" fmla="*/ 1724025 w 3152775"/>
            <a:gd name="connsiteY1" fmla="*/ 266700 h 1795461"/>
            <a:gd name="connsiteX2" fmla="*/ 1590675 w 3152775"/>
            <a:gd name="connsiteY2" fmla="*/ 95250 h 1795461"/>
            <a:gd name="connsiteX3" fmla="*/ 1895475 w 3152775"/>
            <a:gd name="connsiteY3" fmla="*/ 0 h 1795461"/>
            <a:gd name="connsiteX4" fmla="*/ 3152775 w 3152775"/>
            <a:gd name="connsiteY4" fmla="*/ 723900 h 1795461"/>
            <a:gd name="connsiteX5" fmla="*/ 2686050 w 3152775"/>
            <a:gd name="connsiteY5" fmla="*/ 1352550 h 1795461"/>
            <a:gd name="connsiteX6" fmla="*/ 2105025 w 3152775"/>
            <a:gd name="connsiteY6" fmla="*/ 1533524 h 1795461"/>
            <a:gd name="connsiteX7" fmla="*/ 1276350 w 3152775"/>
            <a:gd name="connsiteY7" fmla="*/ 1743074 h 1795461"/>
            <a:gd name="connsiteX8" fmla="*/ 1724025 w 3152775"/>
            <a:gd name="connsiteY8" fmla="*/ 1219200 h 1795461"/>
            <a:gd name="connsiteX9" fmla="*/ 819150 w 3152775"/>
            <a:gd name="connsiteY9" fmla="*/ 676275 h 1795461"/>
            <a:gd name="connsiteX10" fmla="*/ 0 w 3152775"/>
            <a:gd name="connsiteY10" fmla="*/ 266700 h 1795461"/>
            <a:gd name="connsiteX0" fmla="*/ 0 w 3152775"/>
            <a:gd name="connsiteY0" fmla="*/ 266700 h 1795461"/>
            <a:gd name="connsiteX1" fmla="*/ 1724025 w 3152775"/>
            <a:gd name="connsiteY1" fmla="*/ 266700 h 1795461"/>
            <a:gd name="connsiteX2" fmla="*/ 1590675 w 3152775"/>
            <a:gd name="connsiteY2" fmla="*/ 95250 h 1795461"/>
            <a:gd name="connsiteX3" fmla="*/ 1895475 w 3152775"/>
            <a:gd name="connsiteY3" fmla="*/ 0 h 1795461"/>
            <a:gd name="connsiteX4" fmla="*/ 3152775 w 3152775"/>
            <a:gd name="connsiteY4" fmla="*/ 723900 h 1795461"/>
            <a:gd name="connsiteX5" fmla="*/ 2686050 w 3152775"/>
            <a:gd name="connsiteY5" fmla="*/ 1352550 h 1795461"/>
            <a:gd name="connsiteX6" fmla="*/ 2105025 w 3152775"/>
            <a:gd name="connsiteY6" fmla="*/ 1533524 h 1795461"/>
            <a:gd name="connsiteX7" fmla="*/ 1276350 w 3152775"/>
            <a:gd name="connsiteY7" fmla="*/ 1743074 h 1795461"/>
            <a:gd name="connsiteX8" fmla="*/ 1743075 w 3152775"/>
            <a:gd name="connsiteY8" fmla="*/ 1533524 h 1795461"/>
            <a:gd name="connsiteX9" fmla="*/ 1724025 w 3152775"/>
            <a:gd name="connsiteY9" fmla="*/ 1219200 h 1795461"/>
            <a:gd name="connsiteX10" fmla="*/ 819150 w 3152775"/>
            <a:gd name="connsiteY10" fmla="*/ 676275 h 1795461"/>
            <a:gd name="connsiteX11" fmla="*/ 0 w 3152775"/>
            <a:gd name="connsiteY11" fmla="*/ 266700 h 1795461"/>
            <a:gd name="connsiteX0" fmla="*/ 0 w 3152775"/>
            <a:gd name="connsiteY0" fmla="*/ 266700 h 1795461"/>
            <a:gd name="connsiteX1" fmla="*/ 1724025 w 3152775"/>
            <a:gd name="connsiteY1" fmla="*/ 266700 h 1795461"/>
            <a:gd name="connsiteX2" fmla="*/ 1590675 w 3152775"/>
            <a:gd name="connsiteY2" fmla="*/ 95250 h 1795461"/>
            <a:gd name="connsiteX3" fmla="*/ 1895475 w 3152775"/>
            <a:gd name="connsiteY3" fmla="*/ 0 h 1795461"/>
            <a:gd name="connsiteX4" fmla="*/ 3152775 w 3152775"/>
            <a:gd name="connsiteY4" fmla="*/ 723900 h 1795461"/>
            <a:gd name="connsiteX5" fmla="*/ 2686050 w 3152775"/>
            <a:gd name="connsiteY5" fmla="*/ 1352550 h 1795461"/>
            <a:gd name="connsiteX6" fmla="*/ 2105025 w 3152775"/>
            <a:gd name="connsiteY6" fmla="*/ 1533524 h 1795461"/>
            <a:gd name="connsiteX7" fmla="*/ 1276350 w 3152775"/>
            <a:gd name="connsiteY7" fmla="*/ 1743074 h 1795461"/>
            <a:gd name="connsiteX8" fmla="*/ 1952625 w 3152775"/>
            <a:gd name="connsiteY8" fmla="*/ 1523999 h 1795461"/>
            <a:gd name="connsiteX9" fmla="*/ 1743075 w 3152775"/>
            <a:gd name="connsiteY9" fmla="*/ 1533524 h 1795461"/>
            <a:gd name="connsiteX10" fmla="*/ 1724025 w 3152775"/>
            <a:gd name="connsiteY10" fmla="*/ 1219200 h 1795461"/>
            <a:gd name="connsiteX11" fmla="*/ 819150 w 3152775"/>
            <a:gd name="connsiteY11" fmla="*/ 676275 h 1795461"/>
            <a:gd name="connsiteX12" fmla="*/ 0 w 3152775"/>
            <a:gd name="connsiteY12" fmla="*/ 266700 h 1795461"/>
            <a:gd name="connsiteX0" fmla="*/ 0 w 3152775"/>
            <a:gd name="connsiteY0" fmla="*/ 266700 h 1584324"/>
            <a:gd name="connsiteX1" fmla="*/ 1724025 w 3152775"/>
            <a:gd name="connsiteY1" fmla="*/ 266700 h 1584324"/>
            <a:gd name="connsiteX2" fmla="*/ 1590675 w 3152775"/>
            <a:gd name="connsiteY2" fmla="*/ 95250 h 1584324"/>
            <a:gd name="connsiteX3" fmla="*/ 1895475 w 3152775"/>
            <a:gd name="connsiteY3" fmla="*/ 0 h 1584324"/>
            <a:gd name="connsiteX4" fmla="*/ 3152775 w 3152775"/>
            <a:gd name="connsiteY4" fmla="*/ 723900 h 1584324"/>
            <a:gd name="connsiteX5" fmla="*/ 2686050 w 3152775"/>
            <a:gd name="connsiteY5" fmla="*/ 1352550 h 1584324"/>
            <a:gd name="connsiteX6" fmla="*/ 2105025 w 3152775"/>
            <a:gd name="connsiteY6" fmla="*/ 1533524 h 1584324"/>
            <a:gd name="connsiteX7" fmla="*/ 2095500 w 3152775"/>
            <a:gd name="connsiteY7" fmla="*/ 1428749 h 1584324"/>
            <a:gd name="connsiteX8" fmla="*/ 1952625 w 3152775"/>
            <a:gd name="connsiteY8" fmla="*/ 1523999 h 1584324"/>
            <a:gd name="connsiteX9" fmla="*/ 1743075 w 3152775"/>
            <a:gd name="connsiteY9" fmla="*/ 1533524 h 1584324"/>
            <a:gd name="connsiteX10" fmla="*/ 1724025 w 3152775"/>
            <a:gd name="connsiteY10" fmla="*/ 1219200 h 1584324"/>
            <a:gd name="connsiteX11" fmla="*/ 819150 w 3152775"/>
            <a:gd name="connsiteY11" fmla="*/ 676275 h 1584324"/>
            <a:gd name="connsiteX12" fmla="*/ 0 w 3152775"/>
            <a:gd name="connsiteY12" fmla="*/ 266700 h 1584324"/>
            <a:gd name="connsiteX0" fmla="*/ 0 w 3152775"/>
            <a:gd name="connsiteY0" fmla="*/ 266700 h 1584324"/>
            <a:gd name="connsiteX1" fmla="*/ 1724025 w 3152775"/>
            <a:gd name="connsiteY1" fmla="*/ 266700 h 1584324"/>
            <a:gd name="connsiteX2" fmla="*/ 1590675 w 3152775"/>
            <a:gd name="connsiteY2" fmla="*/ 95250 h 1584324"/>
            <a:gd name="connsiteX3" fmla="*/ 1895475 w 3152775"/>
            <a:gd name="connsiteY3" fmla="*/ 0 h 1584324"/>
            <a:gd name="connsiteX4" fmla="*/ 3152775 w 3152775"/>
            <a:gd name="connsiteY4" fmla="*/ 723900 h 1584324"/>
            <a:gd name="connsiteX5" fmla="*/ 2686050 w 3152775"/>
            <a:gd name="connsiteY5" fmla="*/ 1352550 h 1584324"/>
            <a:gd name="connsiteX6" fmla="*/ 2105025 w 3152775"/>
            <a:gd name="connsiteY6" fmla="*/ 1533524 h 1584324"/>
            <a:gd name="connsiteX7" fmla="*/ 2019300 w 3152775"/>
            <a:gd name="connsiteY7" fmla="*/ 1523999 h 1584324"/>
            <a:gd name="connsiteX8" fmla="*/ 1952625 w 3152775"/>
            <a:gd name="connsiteY8" fmla="*/ 1523999 h 1584324"/>
            <a:gd name="connsiteX9" fmla="*/ 1743075 w 3152775"/>
            <a:gd name="connsiteY9" fmla="*/ 1533524 h 1584324"/>
            <a:gd name="connsiteX10" fmla="*/ 1724025 w 3152775"/>
            <a:gd name="connsiteY10" fmla="*/ 1219200 h 1584324"/>
            <a:gd name="connsiteX11" fmla="*/ 819150 w 3152775"/>
            <a:gd name="connsiteY11" fmla="*/ 676275 h 1584324"/>
            <a:gd name="connsiteX12" fmla="*/ 0 w 3152775"/>
            <a:gd name="connsiteY12" fmla="*/ 266700 h 1584324"/>
            <a:gd name="connsiteX0" fmla="*/ 0 w 3328988"/>
            <a:gd name="connsiteY0" fmla="*/ 266700 h 1584324"/>
            <a:gd name="connsiteX1" fmla="*/ 1724025 w 3328988"/>
            <a:gd name="connsiteY1" fmla="*/ 266700 h 1584324"/>
            <a:gd name="connsiteX2" fmla="*/ 1590675 w 3328988"/>
            <a:gd name="connsiteY2" fmla="*/ 95250 h 1584324"/>
            <a:gd name="connsiteX3" fmla="*/ 1895475 w 3328988"/>
            <a:gd name="connsiteY3" fmla="*/ 0 h 1584324"/>
            <a:gd name="connsiteX4" fmla="*/ 3152775 w 3328988"/>
            <a:gd name="connsiteY4" fmla="*/ 723900 h 1584324"/>
            <a:gd name="connsiteX5" fmla="*/ 2505075 w 3328988"/>
            <a:gd name="connsiteY5" fmla="*/ 1047749 h 1584324"/>
            <a:gd name="connsiteX6" fmla="*/ 2686050 w 3328988"/>
            <a:gd name="connsiteY6" fmla="*/ 1352550 h 1584324"/>
            <a:gd name="connsiteX7" fmla="*/ 2105025 w 3328988"/>
            <a:gd name="connsiteY7" fmla="*/ 1533524 h 1584324"/>
            <a:gd name="connsiteX8" fmla="*/ 2019300 w 3328988"/>
            <a:gd name="connsiteY8" fmla="*/ 1523999 h 1584324"/>
            <a:gd name="connsiteX9" fmla="*/ 1952625 w 3328988"/>
            <a:gd name="connsiteY9" fmla="*/ 1523999 h 1584324"/>
            <a:gd name="connsiteX10" fmla="*/ 1743075 w 3328988"/>
            <a:gd name="connsiteY10" fmla="*/ 1533524 h 1584324"/>
            <a:gd name="connsiteX11" fmla="*/ 1724025 w 3328988"/>
            <a:gd name="connsiteY11" fmla="*/ 1219200 h 1584324"/>
            <a:gd name="connsiteX12" fmla="*/ 819150 w 3328988"/>
            <a:gd name="connsiteY12" fmla="*/ 676275 h 1584324"/>
            <a:gd name="connsiteX13" fmla="*/ 0 w 3328988"/>
            <a:gd name="connsiteY13" fmla="*/ 266700 h 1584324"/>
            <a:gd name="connsiteX0" fmla="*/ 0 w 3328988"/>
            <a:gd name="connsiteY0" fmla="*/ 266700 h 1584324"/>
            <a:gd name="connsiteX1" fmla="*/ 1724025 w 3328988"/>
            <a:gd name="connsiteY1" fmla="*/ 266700 h 1584324"/>
            <a:gd name="connsiteX2" fmla="*/ 1590675 w 3328988"/>
            <a:gd name="connsiteY2" fmla="*/ 95250 h 1584324"/>
            <a:gd name="connsiteX3" fmla="*/ 1895475 w 3328988"/>
            <a:gd name="connsiteY3" fmla="*/ 0 h 1584324"/>
            <a:gd name="connsiteX4" fmla="*/ 3152775 w 3328988"/>
            <a:gd name="connsiteY4" fmla="*/ 723900 h 1584324"/>
            <a:gd name="connsiteX5" fmla="*/ 2505075 w 3328988"/>
            <a:gd name="connsiteY5" fmla="*/ 1047749 h 1584324"/>
            <a:gd name="connsiteX6" fmla="*/ 2286000 w 3328988"/>
            <a:gd name="connsiteY6" fmla="*/ 1200150 h 1584324"/>
            <a:gd name="connsiteX7" fmla="*/ 2105025 w 3328988"/>
            <a:gd name="connsiteY7" fmla="*/ 1533524 h 1584324"/>
            <a:gd name="connsiteX8" fmla="*/ 2019300 w 3328988"/>
            <a:gd name="connsiteY8" fmla="*/ 1523999 h 1584324"/>
            <a:gd name="connsiteX9" fmla="*/ 1952625 w 3328988"/>
            <a:gd name="connsiteY9" fmla="*/ 1523999 h 1584324"/>
            <a:gd name="connsiteX10" fmla="*/ 1743075 w 3328988"/>
            <a:gd name="connsiteY10" fmla="*/ 1533524 h 1584324"/>
            <a:gd name="connsiteX11" fmla="*/ 1724025 w 3328988"/>
            <a:gd name="connsiteY11" fmla="*/ 1219200 h 1584324"/>
            <a:gd name="connsiteX12" fmla="*/ 819150 w 3328988"/>
            <a:gd name="connsiteY12" fmla="*/ 676275 h 1584324"/>
            <a:gd name="connsiteX13" fmla="*/ 0 w 3328988"/>
            <a:gd name="connsiteY13" fmla="*/ 266700 h 1584324"/>
            <a:gd name="connsiteX0" fmla="*/ 0 w 3328988"/>
            <a:gd name="connsiteY0" fmla="*/ 266700 h 1997075"/>
            <a:gd name="connsiteX1" fmla="*/ 1724025 w 3328988"/>
            <a:gd name="connsiteY1" fmla="*/ 266700 h 1997075"/>
            <a:gd name="connsiteX2" fmla="*/ 1590675 w 3328988"/>
            <a:gd name="connsiteY2" fmla="*/ 95250 h 1997075"/>
            <a:gd name="connsiteX3" fmla="*/ 1895475 w 3328988"/>
            <a:gd name="connsiteY3" fmla="*/ 0 h 1997075"/>
            <a:gd name="connsiteX4" fmla="*/ 3152775 w 3328988"/>
            <a:gd name="connsiteY4" fmla="*/ 723900 h 1997075"/>
            <a:gd name="connsiteX5" fmla="*/ 2505075 w 3328988"/>
            <a:gd name="connsiteY5" fmla="*/ 1047749 h 1997075"/>
            <a:gd name="connsiteX6" fmla="*/ 2286000 w 3328988"/>
            <a:gd name="connsiteY6" fmla="*/ 1200150 h 1997075"/>
            <a:gd name="connsiteX7" fmla="*/ 2105025 w 3328988"/>
            <a:gd name="connsiteY7" fmla="*/ 1533524 h 1997075"/>
            <a:gd name="connsiteX8" fmla="*/ 2019300 w 3328988"/>
            <a:gd name="connsiteY8" fmla="*/ 1523999 h 1997075"/>
            <a:gd name="connsiteX9" fmla="*/ 1952625 w 3328988"/>
            <a:gd name="connsiteY9" fmla="*/ 1523999 h 1997075"/>
            <a:gd name="connsiteX10" fmla="*/ 1743075 w 3328988"/>
            <a:gd name="connsiteY10" fmla="*/ 1533524 h 1997075"/>
            <a:gd name="connsiteX11" fmla="*/ 1314450 w 3328988"/>
            <a:gd name="connsiteY11" fmla="*/ 1819275 h 1997075"/>
            <a:gd name="connsiteX12" fmla="*/ 819150 w 3328988"/>
            <a:gd name="connsiteY12" fmla="*/ 676275 h 1997075"/>
            <a:gd name="connsiteX13" fmla="*/ 0 w 3328988"/>
            <a:gd name="connsiteY13" fmla="*/ 266700 h 1997075"/>
            <a:gd name="connsiteX0" fmla="*/ 0 w 3328988"/>
            <a:gd name="connsiteY0" fmla="*/ 266700 h 1997075"/>
            <a:gd name="connsiteX1" fmla="*/ 1724025 w 3328988"/>
            <a:gd name="connsiteY1" fmla="*/ 266700 h 1997075"/>
            <a:gd name="connsiteX2" fmla="*/ 1590675 w 3328988"/>
            <a:gd name="connsiteY2" fmla="*/ 95250 h 1997075"/>
            <a:gd name="connsiteX3" fmla="*/ 1895475 w 3328988"/>
            <a:gd name="connsiteY3" fmla="*/ 0 h 1997075"/>
            <a:gd name="connsiteX4" fmla="*/ 3152775 w 3328988"/>
            <a:gd name="connsiteY4" fmla="*/ 723900 h 1997075"/>
            <a:gd name="connsiteX5" fmla="*/ 2505075 w 3328988"/>
            <a:gd name="connsiteY5" fmla="*/ 1047749 h 1997075"/>
            <a:gd name="connsiteX6" fmla="*/ 2286000 w 3328988"/>
            <a:gd name="connsiteY6" fmla="*/ 1200150 h 1997075"/>
            <a:gd name="connsiteX7" fmla="*/ 1962150 w 3328988"/>
            <a:gd name="connsiteY7" fmla="*/ 1362074 h 1997075"/>
            <a:gd name="connsiteX8" fmla="*/ 2019300 w 3328988"/>
            <a:gd name="connsiteY8" fmla="*/ 1523999 h 1997075"/>
            <a:gd name="connsiteX9" fmla="*/ 1952625 w 3328988"/>
            <a:gd name="connsiteY9" fmla="*/ 1523999 h 1997075"/>
            <a:gd name="connsiteX10" fmla="*/ 1743075 w 3328988"/>
            <a:gd name="connsiteY10" fmla="*/ 1533524 h 1997075"/>
            <a:gd name="connsiteX11" fmla="*/ 1314450 w 3328988"/>
            <a:gd name="connsiteY11" fmla="*/ 1819275 h 1997075"/>
            <a:gd name="connsiteX12" fmla="*/ 819150 w 3328988"/>
            <a:gd name="connsiteY12" fmla="*/ 676275 h 1997075"/>
            <a:gd name="connsiteX13" fmla="*/ 0 w 3328988"/>
            <a:gd name="connsiteY13" fmla="*/ 266700 h 1997075"/>
            <a:gd name="connsiteX0" fmla="*/ 0 w 3328988"/>
            <a:gd name="connsiteY0" fmla="*/ 266700 h 1997075"/>
            <a:gd name="connsiteX1" fmla="*/ 1724025 w 3328988"/>
            <a:gd name="connsiteY1" fmla="*/ 266700 h 1997075"/>
            <a:gd name="connsiteX2" fmla="*/ 1590675 w 3328988"/>
            <a:gd name="connsiteY2" fmla="*/ 95250 h 1997075"/>
            <a:gd name="connsiteX3" fmla="*/ 1895475 w 3328988"/>
            <a:gd name="connsiteY3" fmla="*/ 0 h 1997075"/>
            <a:gd name="connsiteX4" fmla="*/ 3152775 w 3328988"/>
            <a:gd name="connsiteY4" fmla="*/ 723900 h 1997075"/>
            <a:gd name="connsiteX5" fmla="*/ 2505075 w 3328988"/>
            <a:gd name="connsiteY5" fmla="*/ 1047749 h 1997075"/>
            <a:gd name="connsiteX6" fmla="*/ 2286000 w 3328988"/>
            <a:gd name="connsiteY6" fmla="*/ 1200150 h 1997075"/>
            <a:gd name="connsiteX7" fmla="*/ 1962150 w 3328988"/>
            <a:gd name="connsiteY7" fmla="*/ 1362074 h 1997075"/>
            <a:gd name="connsiteX8" fmla="*/ 1819275 w 3328988"/>
            <a:gd name="connsiteY8" fmla="*/ 1400174 h 1997075"/>
            <a:gd name="connsiteX9" fmla="*/ 1952625 w 3328988"/>
            <a:gd name="connsiteY9" fmla="*/ 1523999 h 1997075"/>
            <a:gd name="connsiteX10" fmla="*/ 1743075 w 3328988"/>
            <a:gd name="connsiteY10" fmla="*/ 1533524 h 1997075"/>
            <a:gd name="connsiteX11" fmla="*/ 1314450 w 3328988"/>
            <a:gd name="connsiteY11" fmla="*/ 1819275 h 1997075"/>
            <a:gd name="connsiteX12" fmla="*/ 819150 w 3328988"/>
            <a:gd name="connsiteY12" fmla="*/ 676275 h 1997075"/>
            <a:gd name="connsiteX13" fmla="*/ 0 w 3328988"/>
            <a:gd name="connsiteY13" fmla="*/ 266700 h 1997075"/>
            <a:gd name="connsiteX0" fmla="*/ 0 w 3328988"/>
            <a:gd name="connsiteY0" fmla="*/ 266700 h 1997075"/>
            <a:gd name="connsiteX1" fmla="*/ 1724025 w 3328988"/>
            <a:gd name="connsiteY1" fmla="*/ 266700 h 1997075"/>
            <a:gd name="connsiteX2" fmla="*/ 1590675 w 3328988"/>
            <a:gd name="connsiteY2" fmla="*/ 95250 h 1997075"/>
            <a:gd name="connsiteX3" fmla="*/ 1895475 w 3328988"/>
            <a:gd name="connsiteY3" fmla="*/ 0 h 1997075"/>
            <a:gd name="connsiteX4" fmla="*/ 3152775 w 3328988"/>
            <a:gd name="connsiteY4" fmla="*/ 723900 h 1997075"/>
            <a:gd name="connsiteX5" fmla="*/ 2505075 w 3328988"/>
            <a:gd name="connsiteY5" fmla="*/ 1047749 h 1997075"/>
            <a:gd name="connsiteX6" fmla="*/ 2286000 w 3328988"/>
            <a:gd name="connsiteY6" fmla="*/ 1200150 h 1997075"/>
            <a:gd name="connsiteX7" fmla="*/ 1962150 w 3328988"/>
            <a:gd name="connsiteY7" fmla="*/ 1362074 h 1997075"/>
            <a:gd name="connsiteX8" fmla="*/ 1819275 w 3328988"/>
            <a:gd name="connsiteY8" fmla="*/ 1400174 h 1997075"/>
            <a:gd name="connsiteX9" fmla="*/ 1714500 w 3328988"/>
            <a:gd name="connsiteY9" fmla="*/ 1438274 h 1997075"/>
            <a:gd name="connsiteX10" fmla="*/ 1743075 w 3328988"/>
            <a:gd name="connsiteY10" fmla="*/ 1533524 h 1997075"/>
            <a:gd name="connsiteX11" fmla="*/ 1314450 w 3328988"/>
            <a:gd name="connsiteY11" fmla="*/ 1819275 h 1997075"/>
            <a:gd name="connsiteX12" fmla="*/ 819150 w 3328988"/>
            <a:gd name="connsiteY12" fmla="*/ 676275 h 1997075"/>
            <a:gd name="connsiteX13" fmla="*/ 0 w 3328988"/>
            <a:gd name="connsiteY13" fmla="*/ 266700 h 19970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3328988" h="1997075">
              <a:moveTo>
                <a:pt x="0" y="266700"/>
              </a:moveTo>
              <a:lnTo>
                <a:pt x="1724025" y="266700"/>
              </a:lnTo>
              <a:lnTo>
                <a:pt x="1590675" y="95250"/>
              </a:lnTo>
              <a:lnTo>
                <a:pt x="1895475" y="0"/>
              </a:lnTo>
              <a:lnTo>
                <a:pt x="3152775" y="723900"/>
              </a:lnTo>
              <a:cubicBezTo>
                <a:pt x="3328988" y="923925"/>
                <a:pt x="2649537" y="968374"/>
                <a:pt x="2505075" y="1047749"/>
              </a:cubicBezTo>
              <a:cubicBezTo>
                <a:pt x="2360613" y="1127124"/>
                <a:pt x="2427287" y="1144588"/>
                <a:pt x="2286000" y="1200150"/>
              </a:cubicBezTo>
              <a:cubicBezTo>
                <a:pt x="2173288" y="1284287"/>
                <a:pt x="2122488" y="1384299"/>
                <a:pt x="1962150" y="1362074"/>
              </a:cubicBezTo>
              <a:cubicBezTo>
                <a:pt x="1890713" y="1352549"/>
                <a:pt x="1882775" y="1452561"/>
                <a:pt x="1819275" y="1400174"/>
              </a:cubicBezTo>
              <a:cubicBezTo>
                <a:pt x="1679575" y="1431924"/>
                <a:pt x="1727200" y="1416049"/>
                <a:pt x="1714500" y="1438274"/>
              </a:cubicBezTo>
              <a:cubicBezTo>
                <a:pt x="1701800" y="1460499"/>
                <a:pt x="1809750" y="1470024"/>
                <a:pt x="1743075" y="1533524"/>
              </a:cubicBezTo>
              <a:cubicBezTo>
                <a:pt x="1676400" y="1597024"/>
                <a:pt x="1389062" y="1997075"/>
                <a:pt x="1314450" y="1819275"/>
              </a:cubicBezTo>
              <a:lnTo>
                <a:pt x="819150" y="676275"/>
              </a:lnTo>
              <a:lnTo>
                <a:pt x="0" y="266700"/>
              </a:lnTo>
              <a:close/>
            </a:path>
          </a:pathLst>
        </a:cu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A</a:t>
          </a:r>
        </a:p>
      </xdr:txBody>
    </xdr:sp>
    <xdr:clientData/>
  </xdr:twoCellAnchor>
  <xdr:twoCellAnchor>
    <xdr:from>
      <xdr:col>38</xdr:col>
      <xdr:colOff>419099</xdr:colOff>
      <xdr:row>81</xdr:row>
      <xdr:rowOff>168276</xdr:rowOff>
    </xdr:from>
    <xdr:to>
      <xdr:col>40</xdr:col>
      <xdr:colOff>288924</xdr:colOff>
      <xdr:row>86</xdr:row>
      <xdr:rowOff>146051</xdr:rowOff>
    </xdr:to>
    <xdr:sp macro="" textlink="">
      <xdr:nvSpPr>
        <xdr:cNvPr id="19" name="H_Area"/>
        <xdr:cNvSpPr/>
      </xdr:nvSpPr>
      <xdr:spPr>
        <a:xfrm>
          <a:off x="26479499" y="15084426"/>
          <a:ext cx="1241425" cy="88265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H</a:t>
          </a:r>
        </a:p>
      </xdr:txBody>
    </xdr:sp>
    <xdr:clientData/>
  </xdr:twoCellAnchor>
  <xdr:twoCellAnchor>
    <xdr:from>
      <xdr:col>43</xdr:col>
      <xdr:colOff>323850</xdr:colOff>
      <xdr:row>86</xdr:row>
      <xdr:rowOff>136526</xdr:rowOff>
    </xdr:from>
    <xdr:to>
      <xdr:col>44</xdr:col>
      <xdr:colOff>631825</xdr:colOff>
      <xdr:row>91</xdr:row>
      <xdr:rowOff>66676</xdr:rowOff>
    </xdr:to>
    <xdr:sp macro="" textlink="">
      <xdr:nvSpPr>
        <xdr:cNvPr id="20" name="J_Area"/>
        <xdr:cNvSpPr/>
      </xdr:nvSpPr>
      <xdr:spPr>
        <a:xfrm>
          <a:off x="29813250" y="15957551"/>
          <a:ext cx="993775" cy="8350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J</a:t>
          </a:r>
        </a:p>
      </xdr:txBody>
    </xdr:sp>
    <xdr:clientData/>
  </xdr:twoCellAnchor>
  <xdr:twoCellAnchor>
    <xdr:from>
      <xdr:col>37</xdr:col>
      <xdr:colOff>247650</xdr:colOff>
      <xdr:row>56</xdr:row>
      <xdr:rowOff>0</xdr:rowOff>
    </xdr:from>
    <xdr:to>
      <xdr:col>43</xdr:col>
      <xdr:colOff>34926</xdr:colOff>
      <xdr:row>63</xdr:row>
      <xdr:rowOff>38100</xdr:rowOff>
    </xdr:to>
    <xdr:sp macro="" textlink="">
      <xdr:nvSpPr>
        <xdr:cNvPr id="21" name="R_Area"/>
        <xdr:cNvSpPr/>
      </xdr:nvSpPr>
      <xdr:spPr>
        <a:xfrm>
          <a:off x="25622250" y="10391775"/>
          <a:ext cx="3902076" cy="1304925"/>
        </a:xfrm>
        <a:custGeom>
          <a:avLst/>
          <a:gdLst>
            <a:gd name="connsiteX0" fmla="*/ 0 w 1590675"/>
            <a:gd name="connsiteY0" fmla="*/ 0 h 962025"/>
            <a:gd name="connsiteX1" fmla="*/ 1590675 w 1590675"/>
            <a:gd name="connsiteY1" fmla="*/ 0 h 962025"/>
            <a:gd name="connsiteX2" fmla="*/ 1590675 w 1590675"/>
            <a:gd name="connsiteY2" fmla="*/ 962025 h 962025"/>
            <a:gd name="connsiteX3" fmla="*/ 0 w 1590675"/>
            <a:gd name="connsiteY3" fmla="*/ 962025 h 962025"/>
            <a:gd name="connsiteX4" fmla="*/ 0 w 1590675"/>
            <a:gd name="connsiteY4" fmla="*/ 0 h 962025"/>
            <a:gd name="connsiteX0" fmla="*/ 0 w 1590675"/>
            <a:gd name="connsiteY0" fmla="*/ 0 h 1323975"/>
            <a:gd name="connsiteX1" fmla="*/ 1590675 w 1590675"/>
            <a:gd name="connsiteY1" fmla="*/ 0 h 1323975"/>
            <a:gd name="connsiteX2" fmla="*/ 1590675 w 1590675"/>
            <a:gd name="connsiteY2" fmla="*/ 962025 h 1323975"/>
            <a:gd name="connsiteX3" fmla="*/ 819150 w 1590675"/>
            <a:gd name="connsiteY3" fmla="*/ 1323975 h 1323975"/>
            <a:gd name="connsiteX4" fmla="*/ 0 w 1590675"/>
            <a:gd name="connsiteY4" fmla="*/ 962025 h 1323975"/>
            <a:gd name="connsiteX5" fmla="*/ 0 w 1590675"/>
            <a:gd name="connsiteY5" fmla="*/ 0 h 1323975"/>
            <a:gd name="connsiteX0" fmla="*/ 0 w 1590675"/>
            <a:gd name="connsiteY0" fmla="*/ 0 h 1374775"/>
            <a:gd name="connsiteX1" fmla="*/ 1590675 w 1590675"/>
            <a:gd name="connsiteY1" fmla="*/ 0 h 1374775"/>
            <a:gd name="connsiteX2" fmla="*/ 1590675 w 1590675"/>
            <a:gd name="connsiteY2" fmla="*/ 962025 h 1374775"/>
            <a:gd name="connsiteX3" fmla="*/ 819150 w 1590675"/>
            <a:gd name="connsiteY3" fmla="*/ 1323975 h 1374775"/>
            <a:gd name="connsiteX4" fmla="*/ 0 w 1590675"/>
            <a:gd name="connsiteY4" fmla="*/ 962025 h 1374775"/>
            <a:gd name="connsiteX5" fmla="*/ 0 w 1590675"/>
            <a:gd name="connsiteY5" fmla="*/ 0 h 1374775"/>
            <a:gd name="connsiteX0" fmla="*/ 0 w 1590675"/>
            <a:gd name="connsiteY0" fmla="*/ 0 h 1374775"/>
            <a:gd name="connsiteX1" fmla="*/ 1590675 w 1590675"/>
            <a:gd name="connsiteY1" fmla="*/ 0 h 1374775"/>
            <a:gd name="connsiteX2" fmla="*/ 1590675 w 1590675"/>
            <a:gd name="connsiteY2" fmla="*/ 962025 h 1374775"/>
            <a:gd name="connsiteX3" fmla="*/ 1362075 w 1590675"/>
            <a:gd name="connsiteY3" fmla="*/ 1190625 h 1374775"/>
            <a:gd name="connsiteX4" fmla="*/ 819150 w 1590675"/>
            <a:gd name="connsiteY4" fmla="*/ 1323975 h 1374775"/>
            <a:gd name="connsiteX5" fmla="*/ 0 w 1590675"/>
            <a:gd name="connsiteY5" fmla="*/ 962025 h 1374775"/>
            <a:gd name="connsiteX6" fmla="*/ 0 w 1590675"/>
            <a:gd name="connsiteY6" fmla="*/ 0 h 1374775"/>
            <a:gd name="connsiteX0" fmla="*/ 0 w 1590675"/>
            <a:gd name="connsiteY0" fmla="*/ 0 h 1374775"/>
            <a:gd name="connsiteX1" fmla="*/ 1590675 w 1590675"/>
            <a:gd name="connsiteY1" fmla="*/ 0 h 1374775"/>
            <a:gd name="connsiteX2" fmla="*/ 1590675 w 1590675"/>
            <a:gd name="connsiteY2" fmla="*/ 962025 h 1374775"/>
            <a:gd name="connsiteX3" fmla="*/ 1362075 w 1590675"/>
            <a:gd name="connsiteY3" fmla="*/ 1190625 h 1374775"/>
            <a:gd name="connsiteX4" fmla="*/ 819150 w 1590675"/>
            <a:gd name="connsiteY4" fmla="*/ 1323975 h 1374775"/>
            <a:gd name="connsiteX5" fmla="*/ 0 w 1590675"/>
            <a:gd name="connsiteY5" fmla="*/ 962025 h 1374775"/>
            <a:gd name="connsiteX6" fmla="*/ 0 w 1590675"/>
            <a:gd name="connsiteY6" fmla="*/ 0 h 1374775"/>
            <a:gd name="connsiteX0" fmla="*/ 0 w 1590675"/>
            <a:gd name="connsiteY0" fmla="*/ 0 h 1374775"/>
            <a:gd name="connsiteX1" fmla="*/ 1590675 w 1590675"/>
            <a:gd name="connsiteY1" fmla="*/ 0 h 1374775"/>
            <a:gd name="connsiteX2" fmla="*/ 1590675 w 1590675"/>
            <a:gd name="connsiteY2" fmla="*/ 962025 h 1374775"/>
            <a:gd name="connsiteX3" fmla="*/ 1362075 w 1590675"/>
            <a:gd name="connsiteY3" fmla="*/ 1190625 h 1374775"/>
            <a:gd name="connsiteX4" fmla="*/ 819150 w 1590675"/>
            <a:gd name="connsiteY4" fmla="*/ 1323975 h 1374775"/>
            <a:gd name="connsiteX5" fmla="*/ 0 w 1590675"/>
            <a:gd name="connsiteY5" fmla="*/ 962025 h 1374775"/>
            <a:gd name="connsiteX6" fmla="*/ 0 w 1590675"/>
            <a:gd name="connsiteY6" fmla="*/ 0 h 1374775"/>
            <a:gd name="connsiteX0" fmla="*/ 923925 w 2514600"/>
            <a:gd name="connsiteY0" fmla="*/ 0 h 1374775"/>
            <a:gd name="connsiteX1" fmla="*/ 2514600 w 2514600"/>
            <a:gd name="connsiteY1" fmla="*/ 0 h 1374775"/>
            <a:gd name="connsiteX2" fmla="*/ 2514600 w 2514600"/>
            <a:gd name="connsiteY2" fmla="*/ 962025 h 1374775"/>
            <a:gd name="connsiteX3" fmla="*/ 2286000 w 2514600"/>
            <a:gd name="connsiteY3" fmla="*/ 1190625 h 1374775"/>
            <a:gd name="connsiteX4" fmla="*/ 1743075 w 2514600"/>
            <a:gd name="connsiteY4" fmla="*/ 1323975 h 1374775"/>
            <a:gd name="connsiteX5" fmla="*/ 923925 w 2514600"/>
            <a:gd name="connsiteY5" fmla="*/ 962025 h 1374775"/>
            <a:gd name="connsiteX6" fmla="*/ 0 w 2514600"/>
            <a:gd name="connsiteY6" fmla="*/ 523875 h 1374775"/>
            <a:gd name="connsiteX7" fmla="*/ 923925 w 2514600"/>
            <a:gd name="connsiteY7" fmla="*/ 0 h 1374775"/>
            <a:gd name="connsiteX0" fmla="*/ 958850 w 2549525"/>
            <a:gd name="connsiteY0" fmla="*/ 0 h 1374775"/>
            <a:gd name="connsiteX1" fmla="*/ 2549525 w 2549525"/>
            <a:gd name="connsiteY1" fmla="*/ 0 h 1374775"/>
            <a:gd name="connsiteX2" fmla="*/ 2549525 w 2549525"/>
            <a:gd name="connsiteY2" fmla="*/ 962025 h 1374775"/>
            <a:gd name="connsiteX3" fmla="*/ 2320925 w 2549525"/>
            <a:gd name="connsiteY3" fmla="*/ 1190625 h 1374775"/>
            <a:gd name="connsiteX4" fmla="*/ 1778000 w 2549525"/>
            <a:gd name="connsiteY4" fmla="*/ 1323975 h 1374775"/>
            <a:gd name="connsiteX5" fmla="*/ 958850 w 2549525"/>
            <a:gd name="connsiteY5" fmla="*/ 962025 h 1374775"/>
            <a:gd name="connsiteX6" fmla="*/ 34925 w 2549525"/>
            <a:gd name="connsiteY6" fmla="*/ 523875 h 1374775"/>
            <a:gd name="connsiteX7" fmla="*/ 958850 w 2549525"/>
            <a:gd name="connsiteY7" fmla="*/ 0 h 1374775"/>
            <a:gd name="connsiteX0" fmla="*/ 958850 w 2549525"/>
            <a:gd name="connsiteY0" fmla="*/ 0 h 1374775"/>
            <a:gd name="connsiteX1" fmla="*/ 2549525 w 2549525"/>
            <a:gd name="connsiteY1" fmla="*/ 0 h 1374775"/>
            <a:gd name="connsiteX2" fmla="*/ 2549525 w 2549525"/>
            <a:gd name="connsiteY2" fmla="*/ 962025 h 1374775"/>
            <a:gd name="connsiteX3" fmla="*/ 2320925 w 2549525"/>
            <a:gd name="connsiteY3" fmla="*/ 1190625 h 1374775"/>
            <a:gd name="connsiteX4" fmla="*/ 1778000 w 2549525"/>
            <a:gd name="connsiteY4" fmla="*/ 1323975 h 1374775"/>
            <a:gd name="connsiteX5" fmla="*/ 958850 w 2549525"/>
            <a:gd name="connsiteY5" fmla="*/ 962025 h 1374775"/>
            <a:gd name="connsiteX6" fmla="*/ 34925 w 2549525"/>
            <a:gd name="connsiteY6" fmla="*/ 523875 h 1374775"/>
            <a:gd name="connsiteX7" fmla="*/ 958850 w 2549525"/>
            <a:gd name="connsiteY7" fmla="*/ 0 h 1374775"/>
            <a:gd name="connsiteX0" fmla="*/ 958850 w 3721101"/>
            <a:gd name="connsiteY0" fmla="*/ 0 h 1374775"/>
            <a:gd name="connsiteX1" fmla="*/ 2549525 w 3721101"/>
            <a:gd name="connsiteY1" fmla="*/ 0 h 1374775"/>
            <a:gd name="connsiteX2" fmla="*/ 3721101 w 3721101"/>
            <a:gd name="connsiteY2" fmla="*/ 542925 h 1374775"/>
            <a:gd name="connsiteX3" fmla="*/ 2549525 w 3721101"/>
            <a:gd name="connsiteY3" fmla="*/ 962025 h 1374775"/>
            <a:gd name="connsiteX4" fmla="*/ 2320925 w 3721101"/>
            <a:gd name="connsiteY4" fmla="*/ 1190625 h 1374775"/>
            <a:gd name="connsiteX5" fmla="*/ 1778000 w 3721101"/>
            <a:gd name="connsiteY5" fmla="*/ 1323975 h 1374775"/>
            <a:gd name="connsiteX6" fmla="*/ 958850 w 3721101"/>
            <a:gd name="connsiteY6" fmla="*/ 962025 h 1374775"/>
            <a:gd name="connsiteX7" fmla="*/ 34925 w 3721101"/>
            <a:gd name="connsiteY7" fmla="*/ 523875 h 1374775"/>
            <a:gd name="connsiteX8" fmla="*/ 958850 w 3721101"/>
            <a:gd name="connsiteY8" fmla="*/ 0 h 1374775"/>
            <a:gd name="connsiteX0" fmla="*/ 958850 w 3759201"/>
            <a:gd name="connsiteY0" fmla="*/ 0 h 1374775"/>
            <a:gd name="connsiteX1" fmla="*/ 2549525 w 3759201"/>
            <a:gd name="connsiteY1" fmla="*/ 0 h 1374775"/>
            <a:gd name="connsiteX2" fmla="*/ 3721101 w 3759201"/>
            <a:gd name="connsiteY2" fmla="*/ 542925 h 1374775"/>
            <a:gd name="connsiteX3" fmla="*/ 2549525 w 3759201"/>
            <a:gd name="connsiteY3" fmla="*/ 962025 h 1374775"/>
            <a:gd name="connsiteX4" fmla="*/ 2320925 w 3759201"/>
            <a:gd name="connsiteY4" fmla="*/ 1190625 h 1374775"/>
            <a:gd name="connsiteX5" fmla="*/ 1778000 w 3759201"/>
            <a:gd name="connsiteY5" fmla="*/ 1323975 h 1374775"/>
            <a:gd name="connsiteX6" fmla="*/ 958850 w 3759201"/>
            <a:gd name="connsiteY6" fmla="*/ 962025 h 1374775"/>
            <a:gd name="connsiteX7" fmla="*/ 34925 w 3759201"/>
            <a:gd name="connsiteY7" fmla="*/ 523875 h 1374775"/>
            <a:gd name="connsiteX8" fmla="*/ 958850 w 3759201"/>
            <a:gd name="connsiteY8" fmla="*/ 0 h 1374775"/>
            <a:gd name="connsiteX0" fmla="*/ 958850 w 3844926"/>
            <a:gd name="connsiteY0" fmla="*/ 168275 h 1543050"/>
            <a:gd name="connsiteX1" fmla="*/ 2549525 w 3844926"/>
            <a:gd name="connsiteY1" fmla="*/ 168275 h 1543050"/>
            <a:gd name="connsiteX2" fmla="*/ 3721101 w 3844926"/>
            <a:gd name="connsiteY2" fmla="*/ 711200 h 1543050"/>
            <a:gd name="connsiteX3" fmla="*/ 2549525 w 3844926"/>
            <a:gd name="connsiteY3" fmla="*/ 1130300 h 1543050"/>
            <a:gd name="connsiteX4" fmla="*/ 2320925 w 3844926"/>
            <a:gd name="connsiteY4" fmla="*/ 1358900 h 1543050"/>
            <a:gd name="connsiteX5" fmla="*/ 1778000 w 3844926"/>
            <a:gd name="connsiteY5" fmla="*/ 1492250 h 1543050"/>
            <a:gd name="connsiteX6" fmla="*/ 958850 w 3844926"/>
            <a:gd name="connsiteY6" fmla="*/ 1130300 h 1543050"/>
            <a:gd name="connsiteX7" fmla="*/ 34925 w 3844926"/>
            <a:gd name="connsiteY7" fmla="*/ 692150 h 1543050"/>
            <a:gd name="connsiteX8" fmla="*/ 958850 w 3844926"/>
            <a:gd name="connsiteY8" fmla="*/ 168275 h 1543050"/>
            <a:gd name="connsiteX0" fmla="*/ 958850 w 3844926"/>
            <a:gd name="connsiteY0" fmla="*/ 209550 h 1584325"/>
            <a:gd name="connsiteX1" fmla="*/ 1701800 w 3844926"/>
            <a:gd name="connsiteY1" fmla="*/ 0 h 1584325"/>
            <a:gd name="connsiteX2" fmla="*/ 2549525 w 3844926"/>
            <a:gd name="connsiteY2" fmla="*/ 209550 h 1584325"/>
            <a:gd name="connsiteX3" fmla="*/ 3721101 w 3844926"/>
            <a:gd name="connsiteY3" fmla="*/ 752475 h 1584325"/>
            <a:gd name="connsiteX4" fmla="*/ 2549525 w 3844926"/>
            <a:gd name="connsiteY4" fmla="*/ 1171575 h 1584325"/>
            <a:gd name="connsiteX5" fmla="*/ 2320925 w 3844926"/>
            <a:gd name="connsiteY5" fmla="*/ 1400175 h 1584325"/>
            <a:gd name="connsiteX6" fmla="*/ 1778000 w 3844926"/>
            <a:gd name="connsiteY6" fmla="*/ 1533525 h 1584325"/>
            <a:gd name="connsiteX7" fmla="*/ 958850 w 3844926"/>
            <a:gd name="connsiteY7" fmla="*/ 1171575 h 1584325"/>
            <a:gd name="connsiteX8" fmla="*/ 34925 w 3844926"/>
            <a:gd name="connsiteY8" fmla="*/ 733425 h 1584325"/>
            <a:gd name="connsiteX9" fmla="*/ 958850 w 3844926"/>
            <a:gd name="connsiteY9" fmla="*/ 209550 h 1584325"/>
            <a:gd name="connsiteX0" fmla="*/ 958850 w 3844926"/>
            <a:gd name="connsiteY0" fmla="*/ 209550 h 1584325"/>
            <a:gd name="connsiteX1" fmla="*/ 1701800 w 3844926"/>
            <a:gd name="connsiteY1" fmla="*/ 0 h 1584325"/>
            <a:gd name="connsiteX2" fmla="*/ 2549525 w 3844926"/>
            <a:gd name="connsiteY2" fmla="*/ 209550 h 1584325"/>
            <a:gd name="connsiteX3" fmla="*/ 3721101 w 3844926"/>
            <a:gd name="connsiteY3" fmla="*/ 752475 h 1584325"/>
            <a:gd name="connsiteX4" fmla="*/ 2549525 w 3844926"/>
            <a:gd name="connsiteY4" fmla="*/ 1171575 h 1584325"/>
            <a:gd name="connsiteX5" fmla="*/ 2320925 w 3844926"/>
            <a:gd name="connsiteY5" fmla="*/ 1400175 h 1584325"/>
            <a:gd name="connsiteX6" fmla="*/ 1778000 w 3844926"/>
            <a:gd name="connsiteY6" fmla="*/ 1533525 h 1584325"/>
            <a:gd name="connsiteX7" fmla="*/ 958850 w 3844926"/>
            <a:gd name="connsiteY7" fmla="*/ 1171575 h 1584325"/>
            <a:gd name="connsiteX8" fmla="*/ 34925 w 3844926"/>
            <a:gd name="connsiteY8" fmla="*/ 733425 h 1584325"/>
            <a:gd name="connsiteX9" fmla="*/ 958850 w 3844926"/>
            <a:gd name="connsiteY9" fmla="*/ 209550 h 1584325"/>
            <a:gd name="connsiteX0" fmla="*/ 958850 w 3844926"/>
            <a:gd name="connsiteY0" fmla="*/ 234950 h 1609725"/>
            <a:gd name="connsiteX1" fmla="*/ 1701800 w 3844926"/>
            <a:gd name="connsiteY1" fmla="*/ 25400 h 1609725"/>
            <a:gd name="connsiteX2" fmla="*/ 2549525 w 3844926"/>
            <a:gd name="connsiteY2" fmla="*/ 234950 h 1609725"/>
            <a:gd name="connsiteX3" fmla="*/ 3721101 w 3844926"/>
            <a:gd name="connsiteY3" fmla="*/ 777875 h 1609725"/>
            <a:gd name="connsiteX4" fmla="*/ 2549525 w 3844926"/>
            <a:gd name="connsiteY4" fmla="*/ 1196975 h 1609725"/>
            <a:gd name="connsiteX5" fmla="*/ 2320925 w 3844926"/>
            <a:gd name="connsiteY5" fmla="*/ 1425575 h 1609725"/>
            <a:gd name="connsiteX6" fmla="*/ 1778000 w 3844926"/>
            <a:gd name="connsiteY6" fmla="*/ 1558925 h 1609725"/>
            <a:gd name="connsiteX7" fmla="*/ 958850 w 3844926"/>
            <a:gd name="connsiteY7" fmla="*/ 1196975 h 1609725"/>
            <a:gd name="connsiteX8" fmla="*/ 34925 w 3844926"/>
            <a:gd name="connsiteY8" fmla="*/ 758825 h 1609725"/>
            <a:gd name="connsiteX9" fmla="*/ 958850 w 3844926"/>
            <a:gd name="connsiteY9" fmla="*/ 234950 h 1609725"/>
            <a:gd name="connsiteX0" fmla="*/ 958850 w 3844926"/>
            <a:gd name="connsiteY0" fmla="*/ 234950 h 1584325"/>
            <a:gd name="connsiteX1" fmla="*/ 1701800 w 3844926"/>
            <a:gd name="connsiteY1" fmla="*/ 25400 h 1584325"/>
            <a:gd name="connsiteX2" fmla="*/ 2549525 w 3844926"/>
            <a:gd name="connsiteY2" fmla="*/ 234950 h 1584325"/>
            <a:gd name="connsiteX3" fmla="*/ 3721101 w 3844926"/>
            <a:gd name="connsiteY3" fmla="*/ 777875 h 1584325"/>
            <a:gd name="connsiteX4" fmla="*/ 2549525 w 3844926"/>
            <a:gd name="connsiteY4" fmla="*/ 1196975 h 1584325"/>
            <a:gd name="connsiteX5" fmla="*/ 2320925 w 3844926"/>
            <a:gd name="connsiteY5" fmla="*/ 1425575 h 1584325"/>
            <a:gd name="connsiteX6" fmla="*/ 1768475 w 3844926"/>
            <a:gd name="connsiteY6" fmla="*/ 1187450 h 1584325"/>
            <a:gd name="connsiteX7" fmla="*/ 958850 w 3844926"/>
            <a:gd name="connsiteY7" fmla="*/ 1196975 h 1584325"/>
            <a:gd name="connsiteX8" fmla="*/ 34925 w 3844926"/>
            <a:gd name="connsiteY8" fmla="*/ 758825 h 1584325"/>
            <a:gd name="connsiteX9" fmla="*/ 958850 w 3844926"/>
            <a:gd name="connsiteY9" fmla="*/ 234950 h 1584325"/>
            <a:gd name="connsiteX0" fmla="*/ 958850 w 3844926"/>
            <a:gd name="connsiteY0" fmla="*/ 234950 h 1355725"/>
            <a:gd name="connsiteX1" fmla="*/ 1701800 w 3844926"/>
            <a:gd name="connsiteY1" fmla="*/ 25400 h 1355725"/>
            <a:gd name="connsiteX2" fmla="*/ 2549525 w 3844926"/>
            <a:gd name="connsiteY2" fmla="*/ 234950 h 1355725"/>
            <a:gd name="connsiteX3" fmla="*/ 3721101 w 3844926"/>
            <a:gd name="connsiteY3" fmla="*/ 777875 h 1355725"/>
            <a:gd name="connsiteX4" fmla="*/ 2549525 w 3844926"/>
            <a:gd name="connsiteY4" fmla="*/ 1196975 h 1355725"/>
            <a:gd name="connsiteX5" fmla="*/ 2301875 w 3844926"/>
            <a:gd name="connsiteY5" fmla="*/ 1196975 h 1355725"/>
            <a:gd name="connsiteX6" fmla="*/ 1768475 w 3844926"/>
            <a:gd name="connsiteY6" fmla="*/ 1187450 h 1355725"/>
            <a:gd name="connsiteX7" fmla="*/ 958850 w 3844926"/>
            <a:gd name="connsiteY7" fmla="*/ 1196975 h 1355725"/>
            <a:gd name="connsiteX8" fmla="*/ 34925 w 3844926"/>
            <a:gd name="connsiteY8" fmla="*/ 758825 h 1355725"/>
            <a:gd name="connsiteX9" fmla="*/ 958850 w 3844926"/>
            <a:gd name="connsiteY9" fmla="*/ 234950 h 1355725"/>
            <a:gd name="connsiteX0" fmla="*/ 958850 w 3844926"/>
            <a:gd name="connsiteY0" fmla="*/ 234950 h 1355725"/>
            <a:gd name="connsiteX1" fmla="*/ 1701800 w 3844926"/>
            <a:gd name="connsiteY1" fmla="*/ 25400 h 1355725"/>
            <a:gd name="connsiteX2" fmla="*/ 2549525 w 3844926"/>
            <a:gd name="connsiteY2" fmla="*/ 234950 h 1355725"/>
            <a:gd name="connsiteX3" fmla="*/ 3721101 w 3844926"/>
            <a:gd name="connsiteY3" fmla="*/ 777875 h 1355725"/>
            <a:gd name="connsiteX4" fmla="*/ 2549525 w 3844926"/>
            <a:gd name="connsiteY4" fmla="*/ 1196975 h 1355725"/>
            <a:gd name="connsiteX5" fmla="*/ 2301875 w 3844926"/>
            <a:gd name="connsiteY5" fmla="*/ 1196975 h 1355725"/>
            <a:gd name="connsiteX6" fmla="*/ 1768475 w 3844926"/>
            <a:gd name="connsiteY6" fmla="*/ 1187450 h 1355725"/>
            <a:gd name="connsiteX7" fmla="*/ 958850 w 3844926"/>
            <a:gd name="connsiteY7" fmla="*/ 1196975 h 1355725"/>
            <a:gd name="connsiteX8" fmla="*/ 34925 w 3844926"/>
            <a:gd name="connsiteY8" fmla="*/ 758825 h 1355725"/>
            <a:gd name="connsiteX9" fmla="*/ 958850 w 3844926"/>
            <a:gd name="connsiteY9" fmla="*/ 234950 h 1355725"/>
            <a:gd name="connsiteX0" fmla="*/ 958850 w 3844926"/>
            <a:gd name="connsiteY0" fmla="*/ 234950 h 1355725"/>
            <a:gd name="connsiteX1" fmla="*/ 1701800 w 3844926"/>
            <a:gd name="connsiteY1" fmla="*/ 25400 h 1355725"/>
            <a:gd name="connsiteX2" fmla="*/ 2549525 w 3844926"/>
            <a:gd name="connsiteY2" fmla="*/ 234950 h 1355725"/>
            <a:gd name="connsiteX3" fmla="*/ 3721101 w 3844926"/>
            <a:gd name="connsiteY3" fmla="*/ 777875 h 1355725"/>
            <a:gd name="connsiteX4" fmla="*/ 2549525 w 3844926"/>
            <a:gd name="connsiteY4" fmla="*/ 1149350 h 1355725"/>
            <a:gd name="connsiteX5" fmla="*/ 2301875 w 3844926"/>
            <a:gd name="connsiteY5" fmla="*/ 1196975 h 1355725"/>
            <a:gd name="connsiteX6" fmla="*/ 1768475 w 3844926"/>
            <a:gd name="connsiteY6" fmla="*/ 1187450 h 1355725"/>
            <a:gd name="connsiteX7" fmla="*/ 958850 w 3844926"/>
            <a:gd name="connsiteY7" fmla="*/ 1196975 h 1355725"/>
            <a:gd name="connsiteX8" fmla="*/ 34925 w 3844926"/>
            <a:gd name="connsiteY8" fmla="*/ 758825 h 1355725"/>
            <a:gd name="connsiteX9" fmla="*/ 958850 w 3844926"/>
            <a:gd name="connsiteY9" fmla="*/ 234950 h 13557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</a:cxnLst>
          <a:rect l="l" t="t" r="r" b="b"/>
          <a:pathLst>
            <a:path w="3844926" h="1355725">
              <a:moveTo>
                <a:pt x="958850" y="234950"/>
              </a:moveTo>
              <a:cubicBezTo>
                <a:pt x="1206500" y="165100"/>
                <a:pt x="1368425" y="28575"/>
                <a:pt x="1701800" y="25400"/>
              </a:cubicBezTo>
              <a:cubicBezTo>
                <a:pt x="2146300" y="0"/>
                <a:pt x="2266950" y="165100"/>
                <a:pt x="2549525" y="234950"/>
              </a:cubicBezTo>
              <a:cubicBezTo>
                <a:pt x="2549525" y="393700"/>
                <a:pt x="3844926" y="66675"/>
                <a:pt x="3721101" y="777875"/>
              </a:cubicBezTo>
              <a:cubicBezTo>
                <a:pt x="3759201" y="1235075"/>
                <a:pt x="2549525" y="987425"/>
                <a:pt x="2549525" y="1149350"/>
              </a:cubicBezTo>
              <a:cubicBezTo>
                <a:pt x="2473325" y="1225550"/>
                <a:pt x="2520950" y="1120775"/>
                <a:pt x="2301875" y="1196975"/>
              </a:cubicBezTo>
              <a:cubicBezTo>
                <a:pt x="2197100" y="1355725"/>
                <a:pt x="1949450" y="1143000"/>
                <a:pt x="1768475" y="1187450"/>
              </a:cubicBezTo>
              <a:cubicBezTo>
                <a:pt x="1323975" y="1238250"/>
                <a:pt x="1231900" y="1317625"/>
                <a:pt x="958850" y="1196975"/>
              </a:cubicBezTo>
              <a:cubicBezTo>
                <a:pt x="650875" y="1050925"/>
                <a:pt x="0" y="1304925"/>
                <a:pt x="34925" y="758825"/>
              </a:cubicBezTo>
              <a:cubicBezTo>
                <a:pt x="0" y="336550"/>
                <a:pt x="650875" y="409575"/>
                <a:pt x="958850" y="234950"/>
              </a:cubicBezTo>
              <a:close/>
            </a:path>
          </a:pathLst>
        </a:custGeom>
        <a:solidFill>
          <a:srgbClr val="00FF00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R</a:t>
          </a:r>
        </a:p>
      </xdr:txBody>
    </xdr:sp>
    <xdr:clientData/>
  </xdr:twoCellAnchor>
  <xdr:twoCellAnchor>
    <xdr:from>
      <xdr:col>38</xdr:col>
      <xdr:colOff>428625</xdr:colOff>
      <xdr:row>61</xdr:row>
      <xdr:rowOff>63504</xdr:rowOff>
    </xdr:from>
    <xdr:to>
      <xdr:col>38</xdr:col>
      <xdr:colOff>449792</xdr:colOff>
      <xdr:row>62</xdr:row>
      <xdr:rowOff>157695</xdr:rowOff>
    </xdr:to>
    <xdr:cxnSp macro="">
      <xdr:nvCxnSpPr>
        <xdr:cNvPr id="22" name="Straight Arrow Connector 21"/>
        <xdr:cNvCxnSpPr/>
      </xdr:nvCxnSpPr>
      <xdr:spPr>
        <a:xfrm rot="5400000">
          <a:off x="26362026" y="11487153"/>
          <a:ext cx="275166" cy="2116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174625</xdr:colOff>
      <xdr:row>64</xdr:row>
      <xdr:rowOff>157693</xdr:rowOff>
    </xdr:from>
    <xdr:to>
      <xdr:col>39</xdr:col>
      <xdr:colOff>28575</xdr:colOff>
      <xdr:row>65</xdr:row>
      <xdr:rowOff>131234</xdr:rowOff>
    </xdr:to>
    <xdr:cxnSp macro="">
      <xdr:nvCxnSpPr>
        <xdr:cNvPr id="23" name="Straight Arrow Connector 22"/>
        <xdr:cNvCxnSpPr/>
      </xdr:nvCxnSpPr>
      <xdr:spPr>
        <a:xfrm>
          <a:off x="26235025" y="11997268"/>
          <a:ext cx="539750" cy="154516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41</xdr:col>
      <xdr:colOff>279400</xdr:colOff>
      <xdr:row>60</xdr:row>
      <xdr:rowOff>143934</xdr:rowOff>
    </xdr:from>
    <xdr:to>
      <xdr:col>42</xdr:col>
      <xdr:colOff>59266</xdr:colOff>
      <xdr:row>62</xdr:row>
      <xdr:rowOff>147109</xdr:rowOff>
    </xdr:to>
    <xdr:cxnSp macro="">
      <xdr:nvCxnSpPr>
        <xdr:cNvPr id="24" name="Straight Arrow Connector 23"/>
        <xdr:cNvCxnSpPr/>
      </xdr:nvCxnSpPr>
      <xdr:spPr>
        <a:xfrm>
          <a:off x="28397200" y="11259609"/>
          <a:ext cx="465666" cy="36512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117475</xdr:colOff>
      <xdr:row>64</xdr:row>
      <xdr:rowOff>157692</xdr:rowOff>
    </xdr:from>
    <xdr:to>
      <xdr:col>41</xdr:col>
      <xdr:colOff>469900</xdr:colOff>
      <xdr:row>65</xdr:row>
      <xdr:rowOff>178858</xdr:rowOff>
    </xdr:to>
    <xdr:cxnSp macro="">
      <xdr:nvCxnSpPr>
        <xdr:cNvPr id="25" name="Straight Arrow Connector 24"/>
        <xdr:cNvCxnSpPr/>
      </xdr:nvCxnSpPr>
      <xdr:spPr>
        <a:xfrm rot="10800000" flipV="1">
          <a:off x="28235275" y="11997267"/>
          <a:ext cx="352425" cy="202141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165100</xdr:colOff>
      <xdr:row>66</xdr:row>
      <xdr:rowOff>136526</xdr:rowOff>
    </xdr:from>
    <xdr:to>
      <xdr:col>40</xdr:col>
      <xdr:colOff>196850</xdr:colOff>
      <xdr:row>68</xdr:row>
      <xdr:rowOff>29634</xdr:rowOff>
    </xdr:to>
    <xdr:cxnSp macro="">
      <xdr:nvCxnSpPr>
        <xdr:cNvPr id="26" name="Straight Arrow Connector 25"/>
        <xdr:cNvCxnSpPr/>
      </xdr:nvCxnSpPr>
      <xdr:spPr>
        <a:xfrm rot="16200000" flipH="1">
          <a:off x="27485446" y="12449705"/>
          <a:ext cx="255058" cy="317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216958</xdr:colOff>
      <xdr:row>68</xdr:row>
      <xdr:rowOff>71968</xdr:rowOff>
    </xdr:from>
    <xdr:to>
      <xdr:col>38</xdr:col>
      <xdr:colOff>619125</xdr:colOff>
      <xdr:row>68</xdr:row>
      <xdr:rowOff>99484</xdr:rowOff>
    </xdr:to>
    <xdr:cxnSp macro="">
      <xdr:nvCxnSpPr>
        <xdr:cNvPr id="27" name="Straight Arrow Connector 26"/>
        <xdr:cNvCxnSpPr/>
      </xdr:nvCxnSpPr>
      <xdr:spPr>
        <a:xfrm>
          <a:off x="26277358" y="12635443"/>
          <a:ext cx="402167" cy="27516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416984</xdr:colOff>
      <xdr:row>68</xdr:row>
      <xdr:rowOff>40218</xdr:rowOff>
    </xdr:from>
    <xdr:to>
      <xdr:col>42</xdr:col>
      <xdr:colOff>27517</xdr:colOff>
      <xdr:row>69</xdr:row>
      <xdr:rowOff>110067</xdr:rowOff>
    </xdr:to>
    <xdr:cxnSp macro="">
      <xdr:nvCxnSpPr>
        <xdr:cNvPr id="28" name="Straight Arrow Connector 27"/>
        <xdr:cNvCxnSpPr/>
      </xdr:nvCxnSpPr>
      <xdr:spPr>
        <a:xfrm rot="10800000" flipV="1">
          <a:off x="28534784" y="12603693"/>
          <a:ext cx="296333" cy="250824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39</xdr:col>
      <xdr:colOff>670189</xdr:colOff>
      <xdr:row>69</xdr:row>
      <xdr:rowOff>89695</xdr:rowOff>
    </xdr:from>
    <xdr:to>
      <xdr:col>39</xdr:col>
      <xdr:colOff>671777</xdr:colOff>
      <xdr:row>71</xdr:row>
      <xdr:rowOff>30428</xdr:rowOff>
    </xdr:to>
    <xdr:cxnSp macro="">
      <xdr:nvCxnSpPr>
        <xdr:cNvPr id="29" name="Straight Arrow Connector 28"/>
        <xdr:cNvCxnSpPr/>
      </xdr:nvCxnSpPr>
      <xdr:spPr>
        <a:xfrm rot="5400000">
          <a:off x="27265841" y="12984693"/>
          <a:ext cx="302683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37</xdr:col>
      <xdr:colOff>674158</xdr:colOff>
      <xdr:row>72</xdr:row>
      <xdr:rowOff>178860</xdr:rowOff>
    </xdr:from>
    <xdr:to>
      <xdr:col>38</xdr:col>
      <xdr:colOff>439208</xdr:colOff>
      <xdr:row>72</xdr:row>
      <xdr:rowOff>180448</xdr:rowOff>
    </xdr:to>
    <xdr:cxnSp macro="">
      <xdr:nvCxnSpPr>
        <xdr:cNvPr id="30" name="Straight Arrow Connector 29"/>
        <xdr:cNvCxnSpPr/>
      </xdr:nvCxnSpPr>
      <xdr:spPr>
        <a:xfrm>
          <a:off x="26048758" y="13466235"/>
          <a:ext cx="450850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41</xdr:col>
      <xdr:colOff>201347</xdr:colOff>
      <xdr:row>69</xdr:row>
      <xdr:rowOff>72761</xdr:rowOff>
    </xdr:from>
    <xdr:to>
      <xdr:col>41</xdr:col>
      <xdr:colOff>202935</xdr:colOff>
      <xdr:row>71</xdr:row>
      <xdr:rowOff>9262</xdr:rowOff>
    </xdr:to>
    <xdr:cxnSp macro="">
      <xdr:nvCxnSpPr>
        <xdr:cNvPr id="31" name="Straight Arrow Connector 30"/>
        <xdr:cNvCxnSpPr/>
      </xdr:nvCxnSpPr>
      <xdr:spPr>
        <a:xfrm rot="5400000">
          <a:off x="28170715" y="12965643"/>
          <a:ext cx="298451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39</xdr:col>
      <xdr:colOff>438149</xdr:colOff>
      <xdr:row>73</xdr:row>
      <xdr:rowOff>99485</xdr:rowOff>
    </xdr:from>
    <xdr:to>
      <xdr:col>39</xdr:col>
      <xdr:colOff>459316</xdr:colOff>
      <xdr:row>75</xdr:row>
      <xdr:rowOff>178860</xdr:rowOff>
    </xdr:to>
    <xdr:cxnSp macro="">
      <xdr:nvCxnSpPr>
        <xdr:cNvPr id="32" name="Straight Arrow Connector 31"/>
        <xdr:cNvCxnSpPr/>
      </xdr:nvCxnSpPr>
      <xdr:spPr>
        <a:xfrm rot="16200000" flipH="1">
          <a:off x="26974270" y="13777914"/>
          <a:ext cx="441325" cy="2116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216958</xdr:colOff>
      <xdr:row>76</xdr:row>
      <xdr:rowOff>168276</xdr:rowOff>
    </xdr:from>
    <xdr:to>
      <xdr:col>38</xdr:col>
      <xdr:colOff>555625</xdr:colOff>
      <xdr:row>76</xdr:row>
      <xdr:rowOff>178859</xdr:rowOff>
    </xdr:to>
    <xdr:cxnSp macro="">
      <xdr:nvCxnSpPr>
        <xdr:cNvPr id="33" name="Straight Arrow Connector 32"/>
        <xdr:cNvCxnSpPr/>
      </xdr:nvCxnSpPr>
      <xdr:spPr>
        <a:xfrm>
          <a:off x="26277358" y="14179551"/>
          <a:ext cx="338667" cy="1058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154516</xdr:colOff>
      <xdr:row>76</xdr:row>
      <xdr:rowOff>157692</xdr:rowOff>
    </xdr:from>
    <xdr:to>
      <xdr:col>41</xdr:col>
      <xdr:colOff>22225</xdr:colOff>
      <xdr:row>77</xdr:row>
      <xdr:rowOff>19050</xdr:rowOff>
    </xdr:to>
    <xdr:cxnSp macro="">
      <xdr:nvCxnSpPr>
        <xdr:cNvPr id="34" name="Straight Arrow Connector 33"/>
        <xdr:cNvCxnSpPr/>
      </xdr:nvCxnSpPr>
      <xdr:spPr>
        <a:xfrm rot="10800000" flipV="1">
          <a:off x="27586516" y="14168967"/>
          <a:ext cx="553509" cy="4233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39</xdr:col>
      <xdr:colOff>469106</xdr:colOff>
      <xdr:row>77</xdr:row>
      <xdr:rowOff>132028</xdr:rowOff>
    </xdr:from>
    <xdr:to>
      <xdr:col>39</xdr:col>
      <xdr:colOff>470694</xdr:colOff>
      <xdr:row>79</xdr:row>
      <xdr:rowOff>87579</xdr:rowOff>
    </xdr:to>
    <xdr:cxnSp macro="">
      <xdr:nvCxnSpPr>
        <xdr:cNvPr id="35" name="Straight Arrow Connector 34"/>
        <xdr:cNvCxnSpPr/>
      </xdr:nvCxnSpPr>
      <xdr:spPr>
        <a:xfrm rot="5400000">
          <a:off x="27057349" y="14482235"/>
          <a:ext cx="317501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148167</xdr:colOff>
      <xdr:row>80</xdr:row>
      <xdr:rowOff>59268</xdr:rowOff>
    </xdr:from>
    <xdr:to>
      <xdr:col>38</xdr:col>
      <xdr:colOff>576792</xdr:colOff>
      <xdr:row>80</xdr:row>
      <xdr:rowOff>60856</xdr:rowOff>
    </xdr:to>
    <xdr:cxnSp macro="">
      <xdr:nvCxnSpPr>
        <xdr:cNvPr id="36" name="Straight Arrow Connector 35"/>
        <xdr:cNvCxnSpPr/>
      </xdr:nvCxnSpPr>
      <xdr:spPr>
        <a:xfrm>
          <a:off x="26208567" y="14794443"/>
          <a:ext cx="428625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16934</xdr:colOff>
      <xdr:row>80</xdr:row>
      <xdr:rowOff>27518</xdr:rowOff>
    </xdr:from>
    <xdr:to>
      <xdr:col>40</xdr:col>
      <xdr:colOff>496359</xdr:colOff>
      <xdr:row>80</xdr:row>
      <xdr:rowOff>91018</xdr:rowOff>
    </xdr:to>
    <xdr:cxnSp macro="">
      <xdr:nvCxnSpPr>
        <xdr:cNvPr id="37" name="Straight Arrow Connector 36"/>
        <xdr:cNvCxnSpPr/>
      </xdr:nvCxnSpPr>
      <xdr:spPr>
        <a:xfrm rot="10800000" flipV="1">
          <a:off x="27448934" y="14762693"/>
          <a:ext cx="479425" cy="6350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187324</xdr:colOff>
      <xdr:row>81</xdr:row>
      <xdr:rowOff>21167</xdr:rowOff>
    </xdr:from>
    <xdr:to>
      <xdr:col>37</xdr:col>
      <xdr:colOff>208491</xdr:colOff>
      <xdr:row>83</xdr:row>
      <xdr:rowOff>161926</xdr:rowOff>
    </xdr:to>
    <xdr:cxnSp macro="">
      <xdr:nvCxnSpPr>
        <xdr:cNvPr id="38" name="Straight Arrow Connector 37"/>
        <xdr:cNvCxnSpPr/>
      </xdr:nvCxnSpPr>
      <xdr:spPr>
        <a:xfrm rot="16200000" flipH="1">
          <a:off x="25321153" y="15178088"/>
          <a:ext cx="502709" cy="2116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164042</xdr:colOff>
      <xdr:row>84</xdr:row>
      <xdr:rowOff>144993</xdr:rowOff>
    </xdr:from>
    <xdr:to>
      <xdr:col>38</xdr:col>
      <xdr:colOff>534458</xdr:colOff>
      <xdr:row>84</xdr:row>
      <xdr:rowOff>146581</xdr:rowOff>
    </xdr:to>
    <xdr:cxnSp macro="">
      <xdr:nvCxnSpPr>
        <xdr:cNvPr id="39" name="Straight Arrow Connector 38"/>
        <xdr:cNvCxnSpPr/>
      </xdr:nvCxnSpPr>
      <xdr:spPr>
        <a:xfrm>
          <a:off x="26224442" y="15604068"/>
          <a:ext cx="370416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206375</xdr:colOff>
      <xdr:row>88</xdr:row>
      <xdr:rowOff>130176</xdr:rowOff>
    </xdr:from>
    <xdr:to>
      <xdr:col>38</xdr:col>
      <xdr:colOff>629708</xdr:colOff>
      <xdr:row>88</xdr:row>
      <xdr:rowOff>131764</xdr:rowOff>
    </xdr:to>
    <xdr:cxnSp macro="">
      <xdr:nvCxnSpPr>
        <xdr:cNvPr id="40" name="Straight Arrow Connector 39"/>
        <xdr:cNvCxnSpPr/>
      </xdr:nvCxnSpPr>
      <xdr:spPr>
        <a:xfrm>
          <a:off x="26266775" y="16313151"/>
          <a:ext cx="423333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37</xdr:col>
      <xdr:colOff>642408</xdr:colOff>
      <xdr:row>90</xdr:row>
      <xdr:rowOff>117476</xdr:rowOff>
    </xdr:from>
    <xdr:to>
      <xdr:col>38</xdr:col>
      <xdr:colOff>301625</xdr:colOff>
      <xdr:row>92</xdr:row>
      <xdr:rowOff>73026</xdr:rowOff>
    </xdr:to>
    <xdr:cxnSp macro="">
      <xdr:nvCxnSpPr>
        <xdr:cNvPr id="41" name="Straight Arrow Connector 40"/>
        <xdr:cNvCxnSpPr/>
      </xdr:nvCxnSpPr>
      <xdr:spPr>
        <a:xfrm>
          <a:off x="26017008" y="16662401"/>
          <a:ext cx="345017" cy="31750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36</xdr:col>
      <xdr:colOff>679451</xdr:colOff>
      <xdr:row>93</xdr:row>
      <xdr:rowOff>130175</xdr:rowOff>
    </xdr:from>
    <xdr:to>
      <xdr:col>37</xdr:col>
      <xdr:colOff>35985</xdr:colOff>
      <xdr:row>95</xdr:row>
      <xdr:rowOff>128058</xdr:rowOff>
    </xdr:to>
    <xdr:cxnSp macro="">
      <xdr:nvCxnSpPr>
        <xdr:cNvPr id="42" name="Straight Arrow Connector 41"/>
        <xdr:cNvCxnSpPr/>
      </xdr:nvCxnSpPr>
      <xdr:spPr>
        <a:xfrm rot="16200000" flipH="1">
          <a:off x="25209501" y="17376775"/>
          <a:ext cx="359833" cy="42334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48683</xdr:colOff>
      <xdr:row>84</xdr:row>
      <xdr:rowOff>2116</xdr:rowOff>
    </xdr:from>
    <xdr:to>
      <xdr:col>40</xdr:col>
      <xdr:colOff>528108</xdr:colOff>
      <xdr:row>84</xdr:row>
      <xdr:rowOff>23283</xdr:rowOff>
    </xdr:to>
    <xdr:cxnSp macro="">
      <xdr:nvCxnSpPr>
        <xdr:cNvPr id="43" name="Straight Arrow Connector 42"/>
        <xdr:cNvCxnSpPr/>
      </xdr:nvCxnSpPr>
      <xdr:spPr>
        <a:xfrm rot="10800000" flipV="1">
          <a:off x="27480683" y="15461191"/>
          <a:ext cx="479425" cy="2116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39</xdr:col>
      <xdr:colOff>352690</xdr:colOff>
      <xdr:row>81</xdr:row>
      <xdr:rowOff>43127</xdr:rowOff>
    </xdr:from>
    <xdr:to>
      <xdr:col>39</xdr:col>
      <xdr:colOff>354278</xdr:colOff>
      <xdr:row>83</xdr:row>
      <xdr:rowOff>9261</xdr:rowOff>
    </xdr:to>
    <xdr:cxnSp macro="">
      <xdr:nvCxnSpPr>
        <xdr:cNvPr id="44" name="Straight Arrow Connector 43"/>
        <xdr:cNvCxnSpPr/>
      </xdr:nvCxnSpPr>
      <xdr:spPr>
        <a:xfrm rot="5400000">
          <a:off x="26935642" y="15122525"/>
          <a:ext cx="328084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165100</xdr:colOff>
      <xdr:row>88</xdr:row>
      <xdr:rowOff>109008</xdr:rowOff>
    </xdr:from>
    <xdr:to>
      <xdr:col>40</xdr:col>
      <xdr:colOff>570441</xdr:colOff>
      <xdr:row>88</xdr:row>
      <xdr:rowOff>161925</xdr:rowOff>
    </xdr:to>
    <xdr:cxnSp macro="">
      <xdr:nvCxnSpPr>
        <xdr:cNvPr id="45" name="Straight Arrow Connector 44"/>
        <xdr:cNvCxnSpPr/>
      </xdr:nvCxnSpPr>
      <xdr:spPr>
        <a:xfrm rot="10800000" flipV="1">
          <a:off x="27597100" y="16291983"/>
          <a:ext cx="405341" cy="5291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39</xdr:col>
      <xdr:colOff>490274</xdr:colOff>
      <xdr:row>90</xdr:row>
      <xdr:rowOff>150019</xdr:rowOff>
    </xdr:from>
    <xdr:to>
      <xdr:col>39</xdr:col>
      <xdr:colOff>491862</xdr:colOff>
      <xdr:row>93</xdr:row>
      <xdr:rowOff>120386</xdr:rowOff>
    </xdr:to>
    <xdr:cxnSp macro="">
      <xdr:nvCxnSpPr>
        <xdr:cNvPr id="46" name="Straight Arrow Connector 45"/>
        <xdr:cNvCxnSpPr/>
      </xdr:nvCxnSpPr>
      <xdr:spPr>
        <a:xfrm rot="5400000">
          <a:off x="26980622" y="16950796"/>
          <a:ext cx="513292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39</xdr:col>
      <xdr:colOff>564356</xdr:colOff>
      <xdr:row>95</xdr:row>
      <xdr:rowOff>75936</xdr:rowOff>
    </xdr:from>
    <xdr:to>
      <xdr:col>39</xdr:col>
      <xdr:colOff>565944</xdr:colOff>
      <xdr:row>96</xdr:row>
      <xdr:rowOff>175420</xdr:rowOff>
    </xdr:to>
    <xdr:cxnSp macro="">
      <xdr:nvCxnSpPr>
        <xdr:cNvPr id="47" name="Straight Arrow Connector 46"/>
        <xdr:cNvCxnSpPr/>
      </xdr:nvCxnSpPr>
      <xdr:spPr>
        <a:xfrm rot="5400000">
          <a:off x="27171120" y="17665172"/>
          <a:ext cx="280459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39</xdr:col>
      <xdr:colOff>565151</xdr:colOff>
      <xdr:row>98</xdr:row>
      <xdr:rowOff>172509</xdr:rowOff>
    </xdr:from>
    <xdr:to>
      <xdr:col>39</xdr:col>
      <xdr:colOff>575734</xdr:colOff>
      <xdr:row>101</xdr:row>
      <xdr:rowOff>22226</xdr:rowOff>
    </xdr:to>
    <xdr:cxnSp macro="">
      <xdr:nvCxnSpPr>
        <xdr:cNvPr id="48" name="Straight Arrow Connector 47"/>
        <xdr:cNvCxnSpPr/>
      </xdr:nvCxnSpPr>
      <xdr:spPr>
        <a:xfrm rot="5400000">
          <a:off x="27120322" y="18356263"/>
          <a:ext cx="392642" cy="1058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39</xdr:col>
      <xdr:colOff>554567</xdr:colOff>
      <xdr:row>104</xdr:row>
      <xdr:rowOff>1059</xdr:rowOff>
    </xdr:from>
    <xdr:to>
      <xdr:col>39</xdr:col>
      <xdr:colOff>586317</xdr:colOff>
      <xdr:row>106</xdr:row>
      <xdr:rowOff>22226</xdr:rowOff>
    </xdr:to>
    <xdr:cxnSp macro="">
      <xdr:nvCxnSpPr>
        <xdr:cNvPr id="49" name="Straight Arrow Connector 48"/>
        <xdr:cNvCxnSpPr/>
      </xdr:nvCxnSpPr>
      <xdr:spPr>
        <a:xfrm rot="5400000">
          <a:off x="27125083" y="19255318"/>
          <a:ext cx="383117" cy="317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280458</xdr:colOff>
      <xdr:row>98</xdr:row>
      <xdr:rowOff>24342</xdr:rowOff>
    </xdr:from>
    <xdr:to>
      <xdr:col>38</xdr:col>
      <xdr:colOff>672042</xdr:colOff>
      <xdr:row>98</xdr:row>
      <xdr:rowOff>34926</xdr:rowOff>
    </xdr:to>
    <xdr:cxnSp macro="">
      <xdr:nvCxnSpPr>
        <xdr:cNvPr id="50" name="Straight Arrow Connector 49"/>
        <xdr:cNvCxnSpPr/>
      </xdr:nvCxnSpPr>
      <xdr:spPr>
        <a:xfrm>
          <a:off x="26340858" y="18017067"/>
          <a:ext cx="391584" cy="10584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312208</xdr:colOff>
      <xdr:row>102</xdr:row>
      <xdr:rowOff>1060</xdr:rowOff>
    </xdr:from>
    <xdr:to>
      <xdr:col>38</xdr:col>
      <xdr:colOff>619125</xdr:colOff>
      <xdr:row>102</xdr:row>
      <xdr:rowOff>2648</xdr:rowOff>
    </xdr:to>
    <xdr:cxnSp macro="">
      <xdr:nvCxnSpPr>
        <xdr:cNvPr id="51" name="Straight Arrow Connector 50"/>
        <xdr:cNvCxnSpPr/>
      </xdr:nvCxnSpPr>
      <xdr:spPr>
        <a:xfrm>
          <a:off x="26372608" y="18717685"/>
          <a:ext cx="306917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291042</xdr:colOff>
      <xdr:row>105</xdr:row>
      <xdr:rowOff>85726</xdr:rowOff>
    </xdr:from>
    <xdr:to>
      <xdr:col>38</xdr:col>
      <xdr:colOff>650875</xdr:colOff>
      <xdr:row>107</xdr:row>
      <xdr:rowOff>75142</xdr:rowOff>
    </xdr:to>
    <xdr:cxnSp macro="">
      <xdr:nvCxnSpPr>
        <xdr:cNvPr id="52" name="Straight Arrow Connector 51"/>
        <xdr:cNvCxnSpPr/>
      </xdr:nvCxnSpPr>
      <xdr:spPr>
        <a:xfrm>
          <a:off x="26351442" y="19345276"/>
          <a:ext cx="359833" cy="351366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16933</xdr:colOff>
      <xdr:row>97</xdr:row>
      <xdr:rowOff>178859</xdr:rowOff>
    </xdr:from>
    <xdr:to>
      <xdr:col>40</xdr:col>
      <xdr:colOff>422275</xdr:colOff>
      <xdr:row>98</xdr:row>
      <xdr:rowOff>66676</xdr:rowOff>
    </xdr:to>
    <xdr:cxnSp macro="">
      <xdr:nvCxnSpPr>
        <xdr:cNvPr id="53" name="Straight Arrow Connector 52"/>
        <xdr:cNvCxnSpPr/>
      </xdr:nvCxnSpPr>
      <xdr:spPr>
        <a:xfrm rot="10800000" flipV="1">
          <a:off x="27448933" y="17990609"/>
          <a:ext cx="405342" cy="68792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16933</xdr:colOff>
      <xdr:row>102</xdr:row>
      <xdr:rowOff>85726</xdr:rowOff>
    </xdr:from>
    <xdr:to>
      <xdr:col>40</xdr:col>
      <xdr:colOff>454025</xdr:colOff>
      <xdr:row>102</xdr:row>
      <xdr:rowOff>155576</xdr:rowOff>
    </xdr:to>
    <xdr:cxnSp macro="">
      <xdr:nvCxnSpPr>
        <xdr:cNvPr id="54" name="Straight Arrow Connector 53"/>
        <xdr:cNvCxnSpPr/>
      </xdr:nvCxnSpPr>
      <xdr:spPr>
        <a:xfrm rot="10800000" flipV="1">
          <a:off x="27448933" y="18802351"/>
          <a:ext cx="437092" cy="698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48684</xdr:colOff>
      <xdr:row>106</xdr:row>
      <xdr:rowOff>75143</xdr:rowOff>
    </xdr:from>
    <xdr:to>
      <xdr:col>40</xdr:col>
      <xdr:colOff>358776</xdr:colOff>
      <xdr:row>107</xdr:row>
      <xdr:rowOff>85726</xdr:rowOff>
    </xdr:to>
    <xdr:cxnSp macro="">
      <xdr:nvCxnSpPr>
        <xdr:cNvPr id="55" name="Straight Arrow Connector 54"/>
        <xdr:cNvCxnSpPr/>
      </xdr:nvCxnSpPr>
      <xdr:spPr>
        <a:xfrm rot="10800000" flipV="1">
          <a:off x="27480684" y="19515668"/>
          <a:ext cx="310092" cy="19155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39</xdr:col>
      <xdr:colOff>364067</xdr:colOff>
      <xdr:row>85</xdr:row>
      <xdr:rowOff>128060</xdr:rowOff>
    </xdr:from>
    <xdr:to>
      <xdr:col>39</xdr:col>
      <xdr:colOff>374650</xdr:colOff>
      <xdr:row>87</xdr:row>
      <xdr:rowOff>147111</xdr:rowOff>
    </xdr:to>
    <xdr:cxnSp macro="">
      <xdr:nvCxnSpPr>
        <xdr:cNvPr id="56" name="Straight Arrow Connector 55"/>
        <xdr:cNvCxnSpPr/>
      </xdr:nvCxnSpPr>
      <xdr:spPr>
        <a:xfrm rot="5400000">
          <a:off x="26925058" y="15953319"/>
          <a:ext cx="381001" cy="1058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537482</xdr:colOff>
      <xdr:row>60</xdr:row>
      <xdr:rowOff>69851</xdr:rowOff>
    </xdr:from>
    <xdr:to>
      <xdr:col>41</xdr:col>
      <xdr:colOff>256722</xdr:colOff>
      <xdr:row>109</xdr:row>
      <xdr:rowOff>105683</xdr:rowOff>
    </xdr:to>
    <xdr:sp macro="" textlink="">
      <xdr:nvSpPr>
        <xdr:cNvPr id="57" name="Freeform 56"/>
        <xdr:cNvSpPr/>
      </xdr:nvSpPr>
      <xdr:spPr>
        <a:xfrm>
          <a:off x="26597882" y="11185526"/>
          <a:ext cx="1776640" cy="8903607"/>
        </a:xfrm>
        <a:custGeom>
          <a:avLst/>
          <a:gdLst>
            <a:gd name="connsiteX0" fmla="*/ 1700893 w 1700893"/>
            <a:gd name="connsiteY0" fmla="*/ 0 h 8858250"/>
            <a:gd name="connsiteX1" fmla="*/ 1020536 w 1700893"/>
            <a:gd name="connsiteY1" fmla="*/ 680357 h 8858250"/>
            <a:gd name="connsiteX2" fmla="*/ 1006928 w 1700893"/>
            <a:gd name="connsiteY2" fmla="*/ 1823357 h 8858250"/>
            <a:gd name="connsiteX3" fmla="*/ 231321 w 1700893"/>
            <a:gd name="connsiteY3" fmla="*/ 2667000 h 8858250"/>
            <a:gd name="connsiteX4" fmla="*/ 802821 w 1700893"/>
            <a:gd name="connsiteY4" fmla="*/ 4095750 h 8858250"/>
            <a:gd name="connsiteX5" fmla="*/ 95250 w 1700893"/>
            <a:gd name="connsiteY5" fmla="*/ 5402035 h 8858250"/>
            <a:gd name="connsiteX6" fmla="*/ 544286 w 1700893"/>
            <a:gd name="connsiteY6" fmla="*/ 7062107 h 8858250"/>
            <a:gd name="connsiteX7" fmla="*/ 0 w 1700893"/>
            <a:gd name="connsiteY7" fmla="*/ 8858250 h 88582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700893" h="8858250">
              <a:moveTo>
                <a:pt x="1700893" y="0"/>
              </a:moveTo>
              <a:cubicBezTo>
                <a:pt x="1418545" y="188232"/>
                <a:pt x="1136197" y="376464"/>
                <a:pt x="1020536" y="680357"/>
              </a:cubicBezTo>
              <a:cubicBezTo>
                <a:pt x="904875" y="984250"/>
                <a:pt x="1138464" y="1492250"/>
                <a:pt x="1006928" y="1823357"/>
              </a:cubicBezTo>
              <a:cubicBezTo>
                <a:pt x="875392" y="2154464"/>
                <a:pt x="265339" y="2288268"/>
                <a:pt x="231321" y="2667000"/>
              </a:cubicBezTo>
              <a:cubicBezTo>
                <a:pt x="197303" y="3045732"/>
                <a:pt x="825499" y="3639911"/>
                <a:pt x="802821" y="4095750"/>
              </a:cubicBezTo>
              <a:cubicBezTo>
                <a:pt x="780143" y="4551589"/>
                <a:pt x="138339" y="4907642"/>
                <a:pt x="95250" y="5402035"/>
              </a:cubicBezTo>
              <a:cubicBezTo>
                <a:pt x="52161" y="5896428"/>
                <a:pt x="560161" y="6486071"/>
                <a:pt x="544286" y="7062107"/>
              </a:cubicBezTo>
              <a:cubicBezTo>
                <a:pt x="528411" y="7638143"/>
                <a:pt x="264205" y="8248196"/>
                <a:pt x="0" y="8858250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NZ" sz="1100"/>
        </a:p>
      </xdr:txBody>
    </xdr:sp>
    <xdr:clientData/>
  </xdr:twoCellAnchor>
  <xdr:twoCellAnchor>
    <xdr:from>
      <xdr:col>38</xdr:col>
      <xdr:colOff>590550</xdr:colOff>
      <xdr:row>60</xdr:row>
      <xdr:rowOff>177801</xdr:rowOff>
    </xdr:from>
    <xdr:to>
      <xdr:col>40</xdr:col>
      <xdr:colOff>231775</xdr:colOff>
      <xdr:row>66</xdr:row>
      <xdr:rowOff>38101</xdr:rowOff>
    </xdr:to>
    <xdr:sp macro="" textlink="">
      <xdr:nvSpPr>
        <xdr:cNvPr id="58" name="Freeform 57"/>
        <xdr:cNvSpPr/>
      </xdr:nvSpPr>
      <xdr:spPr>
        <a:xfrm>
          <a:off x="26650950" y="11293476"/>
          <a:ext cx="1012825" cy="946150"/>
        </a:xfrm>
        <a:custGeom>
          <a:avLst/>
          <a:gdLst>
            <a:gd name="connsiteX0" fmla="*/ 0 w 942975"/>
            <a:gd name="connsiteY0" fmla="*/ 0 h 958850"/>
            <a:gd name="connsiteX1" fmla="*/ 390525 w 942975"/>
            <a:gd name="connsiteY1" fmla="*/ 809625 h 958850"/>
            <a:gd name="connsiteX2" fmla="*/ 942975 w 942975"/>
            <a:gd name="connsiteY2" fmla="*/ 895350 h 958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942975" h="958850">
              <a:moveTo>
                <a:pt x="0" y="0"/>
              </a:moveTo>
              <a:cubicBezTo>
                <a:pt x="116681" y="330200"/>
                <a:pt x="233363" y="660400"/>
                <a:pt x="390525" y="809625"/>
              </a:cubicBezTo>
              <a:cubicBezTo>
                <a:pt x="547687" y="958850"/>
                <a:pt x="745331" y="927100"/>
                <a:pt x="942975" y="895350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NZ" sz="1100"/>
        </a:p>
      </xdr:txBody>
    </xdr:sp>
    <xdr:clientData/>
  </xdr:twoCellAnchor>
  <xdr:twoCellAnchor>
    <xdr:from>
      <xdr:col>39</xdr:col>
      <xdr:colOff>269875</xdr:colOff>
      <xdr:row>103</xdr:row>
      <xdr:rowOff>76201</xdr:rowOff>
    </xdr:from>
    <xdr:to>
      <xdr:col>40</xdr:col>
      <xdr:colOff>222250</xdr:colOff>
      <xdr:row>109</xdr:row>
      <xdr:rowOff>130176</xdr:rowOff>
    </xdr:to>
    <xdr:sp macro="" textlink="">
      <xdr:nvSpPr>
        <xdr:cNvPr id="59" name="Freeform 58"/>
        <xdr:cNvSpPr/>
      </xdr:nvSpPr>
      <xdr:spPr>
        <a:xfrm>
          <a:off x="27016075" y="18973801"/>
          <a:ext cx="638175" cy="1139825"/>
        </a:xfrm>
        <a:custGeom>
          <a:avLst/>
          <a:gdLst>
            <a:gd name="connsiteX0" fmla="*/ 0 w 628650"/>
            <a:gd name="connsiteY0" fmla="*/ 161925 h 1133475"/>
            <a:gd name="connsiteX1" fmla="*/ 533400 w 628650"/>
            <a:gd name="connsiteY1" fmla="*/ 161925 h 1133475"/>
            <a:gd name="connsiteX2" fmla="*/ 571500 w 628650"/>
            <a:gd name="connsiteY2" fmla="*/ 1133475 h 11334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28650" h="1133475">
              <a:moveTo>
                <a:pt x="0" y="161925"/>
              </a:moveTo>
              <a:cubicBezTo>
                <a:pt x="219075" y="80962"/>
                <a:pt x="438150" y="0"/>
                <a:pt x="533400" y="161925"/>
              </a:cubicBezTo>
              <a:cubicBezTo>
                <a:pt x="628650" y="323850"/>
                <a:pt x="600075" y="728662"/>
                <a:pt x="571500" y="1133475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NZ" sz="1100"/>
        </a:p>
      </xdr:txBody>
    </xdr:sp>
    <xdr:clientData/>
  </xdr:twoCellAnchor>
  <xdr:twoCellAnchor>
    <xdr:from>
      <xdr:col>11</xdr:col>
      <xdr:colOff>47625</xdr:colOff>
      <xdr:row>102</xdr:row>
      <xdr:rowOff>47625</xdr:rowOff>
    </xdr:from>
    <xdr:to>
      <xdr:col>19</xdr:col>
      <xdr:colOff>619125</xdr:colOff>
      <xdr:row>117</xdr:row>
      <xdr:rowOff>76200</xdr:rowOff>
    </xdr:to>
    <xdr:graphicFrame macro="">
      <xdr:nvGraphicFramePr>
        <xdr:cNvPr id="1316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102</xdr:row>
      <xdr:rowOff>104775</xdr:rowOff>
    </xdr:from>
    <xdr:to>
      <xdr:col>9</xdr:col>
      <xdr:colOff>476250</xdr:colOff>
      <xdr:row>117</xdr:row>
      <xdr:rowOff>85725</xdr:rowOff>
    </xdr:to>
    <xdr:graphicFrame macro="">
      <xdr:nvGraphicFramePr>
        <xdr:cNvPr id="1316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273936</xdr:colOff>
      <xdr:row>40</xdr:row>
      <xdr:rowOff>98884</xdr:rowOff>
    </xdr:from>
    <xdr:to>
      <xdr:col>30</xdr:col>
      <xdr:colOff>49411</xdr:colOff>
      <xdr:row>56</xdr:row>
      <xdr:rowOff>143893</xdr:rowOff>
    </xdr:to>
    <xdr:sp macro="" textlink="">
      <xdr:nvSpPr>
        <xdr:cNvPr id="245" name="P_area"/>
        <xdr:cNvSpPr/>
      </xdr:nvSpPr>
      <xdr:spPr>
        <a:xfrm>
          <a:off x="34287404" y="7473078"/>
          <a:ext cx="3646926" cy="2994686"/>
        </a:xfrm>
        <a:custGeom>
          <a:avLst/>
          <a:gdLst>
            <a:gd name="connsiteX0" fmla="*/ 0 w 1857374"/>
            <a:gd name="connsiteY0" fmla="*/ 0 h 2447925"/>
            <a:gd name="connsiteX1" fmla="*/ 1857374 w 1857374"/>
            <a:gd name="connsiteY1" fmla="*/ 0 h 2447925"/>
            <a:gd name="connsiteX2" fmla="*/ 1857374 w 1857374"/>
            <a:gd name="connsiteY2" fmla="*/ 2447925 h 2447925"/>
            <a:gd name="connsiteX3" fmla="*/ 0 w 1857374"/>
            <a:gd name="connsiteY3" fmla="*/ 2447925 h 2447925"/>
            <a:gd name="connsiteX4" fmla="*/ 0 w 1857374"/>
            <a:gd name="connsiteY4" fmla="*/ 0 h 2447925"/>
            <a:gd name="connsiteX0" fmla="*/ 1133475 w 2990849"/>
            <a:gd name="connsiteY0" fmla="*/ 0 h 2447925"/>
            <a:gd name="connsiteX1" fmla="*/ 2990849 w 2990849"/>
            <a:gd name="connsiteY1" fmla="*/ 0 h 2447925"/>
            <a:gd name="connsiteX2" fmla="*/ 2990849 w 2990849"/>
            <a:gd name="connsiteY2" fmla="*/ 2447925 h 2447925"/>
            <a:gd name="connsiteX3" fmla="*/ 1133475 w 2990849"/>
            <a:gd name="connsiteY3" fmla="*/ 2447925 h 2447925"/>
            <a:gd name="connsiteX4" fmla="*/ 0 w 2990849"/>
            <a:gd name="connsiteY4" fmla="*/ 962025 h 2447925"/>
            <a:gd name="connsiteX5" fmla="*/ 1133475 w 2990849"/>
            <a:gd name="connsiteY5" fmla="*/ 0 h 2447925"/>
            <a:gd name="connsiteX0" fmla="*/ 1133475 w 2990849"/>
            <a:gd name="connsiteY0" fmla="*/ 0 h 2447925"/>
            <a:gd name="connsiteX1" fmla="*/ 2990849 w 2990849"/>
            <a:gd name="connsiteY1" fmla="*/ 0 h 2447925"/>
            <a:gd name="connsiteX2" fmla="*/ 2990849 w 2990849"/>
            <a:gd name="connsiteY2" fmla="*/ 2447925 h 2447925"/>
            <a:gd name="connsiteX3" fmla="*/ 1133475 w 2990849"/>
            <a:gd name="connsiteY3" fmla="*/ 2447925 h 2447925"/>
            <a:gd name="connsiteX4" fmla="*/ 0 w 2990849"/>
            <a:gd name="connsiteY4" fmla="*/ 962025 h 2447925"/>
            <a:gd name="connsiteX5" fmla="*/ 1133475 w 2990849"/>
            <a:gd name="connsiteY5" fmla="*/ 0 h 2447925"/>
            <a:gd name="connsiteX0" fmla="*/ 1822450 w 3679824"/>
            <a:gd name="connsiteY0" fmla="*/ 0 h 3105148"/>
            <a:gd name="connsiteX1" fmla="*/ 3679824 w 3679824"/>
            <a:gd name="connsiteY1" fmla="*/ 0 h 3105148"/>
            <a:gd name="connsiteX2" fmla="*/ 3679824 w 3679824"/>
            <a:gd name="connsiteY2" fmla="*/ 2447925 h 3105148"/>
            <a:gd name="connsiteX3" fmla="*/ 1822450 w 3679824"/>
            <a:gd name="connsiteY3" fmla="*/ 2447925 h 3105148"/>
            <a:gd name="connsiteX4" fmla="*/ 688975 w 3679824"/>
            <a:gd name="connsiteY4" fmla="*/ 962025 h 3105148"/>
            <a:gd name="connsiteX5" fmla="*/ 1822450 w 3679824"/>
            <a:gd name="connsiteY5" fmla="*/ 0 h 3105148"/>
            <a:gd name="connsiteX0" fmla="*/ 1812925 w 3670299"/>
            <a:gd name="connsiteY0" fmla="*/ 0 h 3105149"/>
            <a:gd name="connsiteX1" fmla="*/ 3670299 w 3670299"/>
            <a:gd name="connsiteY1" fmla="*/ 0 h 3105149"/>
            <a:gd name="connsiteX2" fmla="*/ 3670299 w 3670299"/>
            <a:gd name="connsiteY2" fmla="*/ 2447925 h 3105149"/>
            <a:gd name="connsiteX3" fmla="*/ 1812925 w 3670299"/>
            <a:gd name="connsiteY3" fmla="*/ 2447925 h 3105149"/>
            <a:gd name="connsiteX4" fmla="*/ 688975 w 3670299"/>
            <a:gd name="connsiteY4" fmla="*/ 962026 h 3105149"/>
            <a:gd name="connsiteX5" fmla="*/ 1812925 w 3670299"/>
            <a:gd name="connsiteY5" fmla="*/ 0 h 310514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3670299" h="3105149">
              <a:moveTo>
                <a:pt x="1812925" y="0"/>
              </a:moveTo>
              <a:lnTo>
                <a:pt x="3670299" y="0"/>
              </a:lnTo>
              <a:lnTo>
                <a:pt x="3670299" y="2447925"/>
              </a:lnTo>
              <a:lnTo>
                <a:pt x="1812925" y="2447925"/>
              </a:lnTo>
              <a:cubicBezTo>
                <a:pt x="1435100" y="1952625"/>
                <a:pt x="0" y="3105149"/>
                <a:pt x="688975" y="962026"/>
              </a:cubicBezTo>
              <a:cubicBezTo>
                <a:pt x="3048000" y="908050"/>
                <a:pt x="1435100" y="320675"/>
                <a:pt x="1812925" y="0"/>
              </a:cubicBezTo>
              <a:close/>
            </a:path>
          </a:pathLst>
        </a:custGeom>
        <a:solidFill>
          <a:srgbClr val="C2D69A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P</a:t>
          </a:r>
        </a:p>
      </xdr:txBody>
    </xdr:sp>
    <xdr:clientData/>
  </xdr:twoCellAnchor>
  <xdr:twoCellAnchor>
    <xdr:from>
      <xdr:col>29</xdr:col>
      <xdr:colOff>1298297</xdr:colOff>
      <xdr:row>62</xdr:row>
      <xdr:rowOff>144910</xdr:rowOff>
    </xdr:from>
    <xdr:to>
      <xdr:col>30</xdr:col>
      <xdr:colOff>1134856</xdr:colOff>
      <xdr:row>67</xdr:row>
      <xdr:rowOff>127252</xdr:rowOff>
    </xdr:to>
    <xdr:sp macro="" textlink="">
      <xdr:nvSpPr>
        <xdr:cNvPr id="246" name="N_Area"/>
        <xdr:cNvSpPr/>
      </xdr:nvSpPr>
      <xdr:spPr>
        <a:xfrm>
          <a:off x="37877370" y="11574910"/>
          <a:ext cx="1142405" cy="904116"/>
        </a:xfrm>
        <a:prstGeom prst="rect">
          <a:avLst/>
        </a:prstGeom>
        <a:solidFill>
          <a:srgbClr val="632523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N</a:t>
          </a:r>
        </a:p>
      </xdr:txBody>
    </xdr:sp>
    <xdr:clientData/>
  </xdr:twoCellAnchor>
  <xdr:twoCellAnchor>
    <xdr:from>
      <xdr:col>30</xdr:col>
      <xdr:colOff>11439</xdr:colOff>
      <xdr:row>58</xdr:row>
      <xdr:rowOff>6764</xdr:rowOff>
    </xdr:from>
    <xdr:to>
      <xdr:col>30</xdr:col>
      <xdr:colOff>1125363</xdr:colOff>
      <xdr:row>63</xdr:row>
      <xdr:rowOff>20830</xdr:rowOff>
    </xdr:to>
    <xdr:sp macro="" textlink="">
      <xdr:nvSpPr>
        <xdr:cNvPr id="247" name="M_Area"/>
        <xdr:cNvSpPr/>
      </xdr:nvSpPr>
      <xdr:spPr>
        <a:xfrm>
          <a:off x="37896358" y="10699345"/>
          <a:ext cx="1113924" cy="935840"/>
        </a:xfrm>
        <a:prstGeom prst="rect">
          <a:avLst/>
        </a:prstGeom>
        <a:solidFill>
          <a:srgbClr val="632523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M</a:t>
          </a:r>
        </a:p>
      </xdr:txBody>
    </xdr:sp>
    <xdr:clientData/>
  </xdr:twoCellAnchor>
  <xdr:twoCellAnchor>
    <xdr:from>
      <xdr:col>28</xdr:col>
      <xdr:colOff>629078</xdr:colOff>
      <xdr:row>52</xdr:row>
      <xdr:rowOff>173881</xdr:rowOff>
    </xdr:from>
    <xdr:to>
      <xdr:col>29</xdr:col>
      <xdr:colOff>1298297</xdr:colOff>
      <xdr:row>67</xdr:row>
      <xdr:rowOff>178010</xdr:rowOff>
    </xdr:to>
    <xdr:sp macro="" textlink="">
      <xdr:nvSpPr>
        <xdr:cNvPr id="248" name="O_Area"/>
        <xdr:cNvSpPr/>
      </xdr:nvSpPr>
      <xdr:spPr>
        <a:xfrm>
          <a:off x="36040570" y="9760333"/>
          <a:ext cx="1836800" cy="2769451"/>
        </a:xfrm>
        <a:custGeom>
          <a:avLst/>
          <a:gdLst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0 w 1866900"/>
            <a:gd name="connsiteY3" fmla="*/ 2809875 h 2809875"/>
            <a:gd name="connsiteX4" fmla="*/ 0 w 1866900"/>
            <a:gd name="connsiteY4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0 w 1866900"/>
            <a:gd name="connsiteY3" fmla="*/ 2809875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0 w 1866900"/>
            <a:gd name="connsiteY3" fmla="*/ 2809875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1152525 w 1866900"/>
            <a:gd name="connsiteY3" fmla="*/ 2076449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1152525 w 1866900"/>
            <a:gd name="connsiteY3" fmla="*/ 2076449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1152525 w 1866900"/>
            <a:gd name="connsiteY3" fmla="*/ 2076449 h 2809875"/>
            <a:gd name="connsiteX4" fmla="*/ 723900 w 1866900"/>
            <a:gd name="connsiteY4" fmla="*/ 1676400 h 2809875"/>
            <a:gd name="connsiteX5" fmla="*/ 0 w 1866900"/>
            <a:gd name="connsiteY5" fmla="*/ 0 h 2809875"/>
            <a:gd name="connsiteX0" fmla="*/ 0 w 1866900"/>
            <a:gd name="connsiteY0" fmla="*/ 0 h 2809875"/>
            <a:gd name="connsiteX1" fmla="*/ 1866900 w 1866900"/>
            <a:gd name="connsiteY1" fmla="*/ 0 h 2809875"/>
            <a:gd name="connsiteX2" fmla="*/ 1866900 w 1866900"/>
            <a:gd name="connsiteY2" fmla="*/ 2809875 h 2809875"/>
            <a:gd name="connsiteX3" fmla="*/ 1333500 w 1866900"/>
            <a:gd name="connsiteY3" fmla="*/ 1876425 h 2809875"/>
            <a:gd name="connsiteX4" fmla="*/ 723900 w 1866900"/>
            <a:gd name="connsiteY4" fmla="*/ 1676400 h 2809875"/>
            <a:gd name="connsiteX5" fmla="*/ 0 w 1866900"/>
            <a:gd name="connsiteY5" fmla="*/ 0 h 28098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866900" h="2809875">
              <a:moveTo>
                <a:pt x="0" y="0"/>
              </a:moveTo>
              <a:lnTo>
                <a:pt x="1866900" y="0"/>
              </a:lnTo>
              <a:lnTo>
                <a:pt x="1866900" y="2809875"/>
              </a:lnTo>
              <a:cubicBezTo>
                <a:pt x="1628775" y="2565400"/>
                <a:pt x="1666875" y="1920875"/>
                <a:pt x="1333500" y="1876425"/>
              </a:cubicBezTo>
              <a:cubicBezTo>
                <a:pt x="1323975" y="1581149"/>
                <a:pt x="866775" y="1809750"/>
                <a:pt x="723900" y="1676400"/>
              </a:cubicBezTo>
              <a:cubicBezTo>
                <a:pt x="1006475" y="784225"/>
                <a:pt x="241300" y="558800"/>
                <a:pt x="0" y="0"/>
              </a:cubicBezTo>
              <a:close/>
            </a:path>
          </a:pathLst>
        </a:custGeom>
        <a:solidFill>
          <a:srgbClr val="D7E4BC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O</a:t>
          </a:r>
        </a:p>
      </xdr:txBody>
    </xdr:sp>
    <xdr:clientData/>
  </xdr:twoCellAnchor>
  <xdr:twoCellAnchor>
    <xdr:from>
      <xdr:col>30</xdr:col>
      <xdr:colOff>11439</xdr:colOff>
      <xdr:row>53</xdr:row>
      <xdr:rowOff>65663</xdr:rowOff>
    </xdr:from>
    <xdr:to>
      <xdr:col>30</xdr:col>
      <xdr:colOff>1084224</xdr:colOff>
      <xdr:row>58</xdr:row>
      <xdr:rowOff>19453</xdr:rowOff>
    </xdr:to>
    <xdr:sp macro="" textlink="">
      <xdr:nvSpPr>
        <xdr:cNvPr id="249" name="L_Area"/>
        <xdr:cNvSpPr/>
      </xdr:nvSpPr>
      <xdr:spPr>
        <a:xfrm>
          <a:off x="37896358" y="9836469"/>
          <a:ext cx="1072785" cy="875565"/>
        </a:xfrm>
        <a:prstGeom prst="rect">
          <a:avLst/>
        </a:prstGeom>
        <a:solidFill>
          <a:srgbClr val="D99795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L</a:t>
          </a:r>
        </a:p>
      </xdr:txBody>
    </xdr:sp>
    <xdr:clientData/>
  </xdr:twoCellAnchor>
  <xdr:twoCellAnchor>
    <xdr:from>
      <xdr:col>30</xdr:col>
      <xdr:colOff>1106377</xdr:colOff>
      <xdr:row>48</xdr:row>
      <xdr:rowOff>156284</xdr:rowOff>
    </xdr:from>
    <xdr:to>
      <xdr:col>31</xdr:col>
      <xdr:colOff>898788</xdr:colOff>
      <xdr:row>67</xdr:row>
      <xdr:rowOff>127252</xdr:rowOff>
    </xdr:to>
    <xdr:sp macro="" textlink="">
      <xdr:nvSpPr>
        <xdr:cNvPr id="250" name="S_Area"/>
        <xdr:cNvSpPr/>
      </xdr:nvSpPr>
      <xdr:spPr>
        <a:xfrm>
          <a:off x="38991296" y="9005316"/>
          <a:ext cx="959992" cy="3473710"/>
        </a:xfrm>
        <a:custGeom>
          <a:avLst/>
          <a:gdLst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847725 w 847725"/>
            <a:gd name="connsiteY2" fmla="*/ 3533775 h 3533775"/>
            <a:gd name="connsiteX3" fmla="*/ 0 w 847725"/>
            <a:gd name="connsiteY3" fmla="*/ 3533775 h 3533775"/>
            <a:gd name="connsiteX4" fmla="*/ 0 w 847725"/>
            <a:gd name="connsiteY4" fmla="*/ 0 h 3533775"/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628650 w 847725"/>
            <a:gd name="connsiteY2" fmla="*/ 1657351 h 3533775"/>
            <a:gd name="connsiteX3" fmla="*/ 847725 w 847725"/>
            <a:gd name="connsiteY3" fmla="*/ 3533775 h 3533775"/>
            <a:gd name="connsiteX4" fmla="*/ 0 w 847725"/>
            <a:gd name="connsiteY4" fmla="*/ 3533775 h 3533775"/>
            <a:gd name="connsiteX5" fmla="*/ 0 w 847725"/>
            <a:gd name="connsiteY5" fmla="*/ 0 h 3533775"/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628650 w 847725"/>
            <a:gd name="connsiteY2" fmla="*/ 1657351 h 3533775"/>
            <a:gd name="connsiteX3" fmla="*/ 847725 w 847725"/>
            <a:gd name="connsiteY3" fmla="*/ 3533775 h 3533775"/>
            <a:gd name="connsiteX4" fmla="*/ 0 w 847725"/>
            <a:gd name="connsiteY4" fmla="*/ 3533775 h 3533775"/>
            <a:gd name="connsiteX5" fmla="*/ 0 w 847725"/>
            <a:gd name="connsiteY5" fmla="*/ 0 h 3533775"/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628650 w 847725"/>
            <a:gd name="connsiteY2" fmla="*/ 1657351 h 3533775"/>
            <a:gd name="connsiteX3" fmla="*/ 847725 w 847725"/>
            <a:gd name="connsiteY3" fmla="*/ 3533775 h 3533775"/>
            <a:gd name="connsiteX4" fmla="*/ 0 w 847725"/>
            <a:gd name="connsiteY4" fmla="*/ 3533775 h 3533775"/>
            <a:gd name="connsiteX5" fmla="*/ 0 w 847725"/>
            <a:gd name="connsiteY5" fmla="*/ 0 h 3533775"/>
            <a:gd name="connsiteX0" fmla="*/ 0 w 847725"/>
            <a:gd name="connsiteY0" fmla="*/ 0 h 3533775"/>
            <a:gd name="connsiteX1" fmla="*/ 847725 w 847725"/>
            <a:gd name="connsiteY1" fmla="*/ 0 h 3533775"/>
            <a:gd name="connsiteX2" fmla="*/ 476250 w 847725"/>
            <a:gd name="connsiteY2" fmla="*/ 1666878 h 3533775"/>
            <a:gd name="connsiteX3" fmla="*/ 847725 w 847725"/>
            <a:gd name="connsiteY3" fmla="*/ 3533775 h 3533775"/>
            <a:gd name="connsiteX4" fmla="*/ 0 w 847725"/>
            <a:gd name="connsiteY4" fmla="*/ 3533775 h 3533775"/>
            <a:gd name="connsiteX5" fmla="*/ 0 w 847725"/>
            <a:gd name="connsiteY5" fmla="*/ 0 h 3533775"/>
            <a:gd name="connsiteX0" fmla="*/ 0 w 966788"/>
            <a:gd name="connsiteY0" fmla="*/ 0 h 3533775"/>
            <a:gd name="connsiteX1" fmla="*/ 847725 w 966788"/>
            <a:gd name="connsiteY1" fmla="*/ 0 h 3533775"/>
            <a:gd name="connsiteX2" fmla="*/ 790575 w 966788"/>
            <a:gd name="connsiteY2" fmla="*/ 495301 h 3533775"/>
            <a:gd name="connsiteX3" fmla="*/ 476250 w 966788"/>
            <a:gd name="connsiteY3" fmla="*/ 1666878 h 3533775"/>
            <a:gd name="connsiteX4" fmla="*/ 847725 w 966788"/>
            <a:gd name="connsiteY4" fmla="*/ 3533775 h 3533775"/>
            <a:gd name="connsiteX5" fmla="*/ 0 w 966788"/>
            <a:gd name="connsiteY5" fmla="*/ 3533775 h 3533775"/>
            <a:gd name="connsiteX6" fmla="*/ 0 w 966788"/>
            <a:gd name="connsiteY6" fmla="*/ 0 h 3533775"/>
            <a:gd name="connsiteX0" fmla="*/ 0 w 1004886"/>
            <a:gd name="connsiteY0" fmla="*/ 0 h 3533775"/>
            <a:gd name="connsiteX1" fmla="*/ 847725 w 1004886"/>
            <a:gd name="connsiteY1" fmla="*/ 0 h 3533775"/>
            <a:gd name="connsiteX2" fmla="*/ 790575 w 1004886"/>
            <a:gd name="connsiteY2" fmla="*/ 495301 h 3533775"/>
            <a:gd name="connsiteX3" fmla="*/ 476250 w 1004886"/>
            <a:gd name="connsiteY3" fmla="*/ 1666878 h 3533775"/>
            <a:gd name="connsiteX4" fmla="*/ 942974 w 1004886"/>
            <a:gd name="connsiteY4" fmla="*/ 2295526 h 3533775"/>
            <a:gd name="connsiteX5" fmla="*/ 847725 w 1004886"/>
            <a:gd name="connsiteY5" fmla="*/ 3533775 h 3533775"/>
            <a:gd name="connsiteX6" fmla="*/ 0 w 1004886"/>
            <a:gd name="connsiteY6" fmla="*/ 3533775 h 3533775"/>
            <a:gd name="connsiteX7" fmla="*/ 0 w 1004886"/>
            <a:gd name="connsiteY7" fmla="*/ 0 h 3533775"/>
            <a:gd name="connsiteX0" fmla="*/ 0 w 966788"/>
            <a:gd name="connsiteY0" fmla="*/ 0 h 3533775"/>
            <a:gd name="connsiteX1" fmla="*/ 847725 w 966788"/>
            <a:gd name="connsiteY1" fmla="*/ 0 h 3533775"/>
            <a:gd name="connsiteX2" fmla="*/ 790575 w 966788"/>
            <a:gd name="connsiteY2" fmla="*/ 495301 h 3533775"/>
            <a:gd name="connsiteX3" fmla="*/ 476250 w 966788"/>
            <a:gd name="connsiteY3" fmla="*/ 1666878 h 3533775"/>
            <a:gd name="connsiteX4" fmla="*/ 942974 w 966788"/>
            <a:gd name="connsiteY4" fmla="*/ 2295526 h 3533775"/>
            <a:gd name="connsiteX5" fmla="*/ 361950 w 966788"/>
            <a:gd name="connsiteY5" fmla="*/ 3343277 h 3533775"/>
            <a:gd name="connsiteX6" fmla="*/ 0 w 966788"/>
            <a:gd name="connsiteY6" fmla="*/ 3533775 h 3533775"/>
            <a:gd name="connsiteX7" fmla="*/ 0 w 966788"/>
            <a:gd name="connsiteY7" fmla="*/ 0 h 3533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966788" h="3533775">
              <a:moveTo>
                <a:pt x="0" y="0"/>
              </a:moveTo>
              <a:lnTo>
                <a:pt x="847725" y="0"/>
              </a:lnTo>
              <a:cubicBezTo>
                <a:pt x="966788" y="77788"/>
                <a:pt x="852488" y="217488"/>
                <a:pt x="790575" y="495301"/>
              </a:cubicBezTo>
              <a:cubicBezTo>
                <a:pt x="728663" y="773114"/>
                <a:pt x="450850" y="1366841"/>
                <a:pt x="476250" y="1666878"/>
              </a:cubicBezTo>
              <a:cubicBezTo>
                <a:pt x="501650" y="1966915"/>
                <a:pt x="962024" y="2016126"/>
                <a:pt x="942974" y="2295526"/>
              </a:cubicBezTo>
              <a:cubicBezTo>
                <a:pt x="923924" y="2574926"/>
                <a:pt x="465137" y="3152777"/>
                <a:pt x="361950" y="3343277"/>
              </a:cubicBezTo>
              <a:lnTo>
                <a:pt x="0" y="3533775"/>
              </a:lnTo>
              <a:lnTo>
                <a:pt x="0" y="0"/>
              </a:lnTo>
              <a:close/>
            </a:path>
          </a:pathLst>
        </a:custGeom>
        <a:solidFill>
          <a:srgbClr val="D7E4BC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S</a:t>
          </a:r>
        </a:p>
      </xdr:txBody>
    </xdr:sp>
    <xdr:clientData/>
  </xdr:twoCellAnchor>
  <xdr:twoCellAnchor>
    <xdr:from>
      <xdr:col>29</xdr:col>
      <xdr:colOff>981841</xdr:colOff>
      <xdr:row>49</xdr:row>
      <xdr:rowOff>108340</xdr:rowOff>
    </xdr:from>
    <xdr:to>
      <xdr:col>31</xdr:col>
      <xdr:colOff>128668</xdr:colOff>
      <xdr:row>54</xdr:row>
      <xdr:rowOff>55787</xdr:rowOff>
    </xdr:to>
    <xdr:sp macro="" textlink="">
      <xdr:nvSpPr>
        <xdr:cNvPr id="251" name="K_Area"/>
        <xdr:cNvSpPr/>
      </xdr:nvSpPr>
      <xdr:spPr>
        <a:xfrm>
          <a:off x="37560914" y="9141727"/>
          <a:ext cx="1620254" cy="869221"/>
        </a:xfrm>
        <a:prstGeom prst="rect">
          <a:avLst/>
        </a:prstGeom>
        <a:solidFill>
          <a:srgbClr val="D99795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K</a:t>
          </a:r>
        </a:p>
      </xdr:txBody>
    </xdr:sp>
    <xdr:clientData/>
  </xdr:twoCellAnchor>
  <xdr:twoCellAnchor>
    <xdr:from>
      <xdr:col>30</xdr:col>
      <xdr:colOff>1125363</xdr:colOff>
      <xdr:row>28</xdr:row>
      <xdr:rowOff>128574</xdr:rowOff>
    </xdr:from>
    <xdr:to>
      <xdr:col>32</xdr:col>
      <xdr:colOff>677922</xdr:colOff>
      <xdr:row>50</xdr:row>
      <xdr:rowOff>165083</xdr:rowOff>
    </xdr:to>
    <xdr:sp macro="" textlink="">
      <xdr:nvSpPr>
        <xdr:cNvPr id="252" name="U_Area"/>
        <xdr:cNvSpPr/>
      </xdr:nvSpPr>
      <xdr:spPr>
        <a:xfrm>
          <a:off x="39010282" y="5290509"/>
          <a:ext cx="2010624" cy="4092316"/>
        </a:xfrm>
        <a:custGeom>
          <a:avLst/>
          <a:gdLst>
            <a:gd name="connsiteX0" fmla="*/ 0 w 1476375"/>
            <a:gd name="connsiteY0" fmla="*/ 0 h 4191000"/>
            <a:gd name="connsiteX1" fmla="*/ 1476375 w 1476375"/>
            <a:gd name="connsiteY1" fmla="*/ 0 h 4191000"/>
            <a:gd name="connsiteX2" fmla="*/ 1476375 w 1476375"/>
            <a:gd name="connsiteY2" fmla="*/ 4191000 h 4191000"/>
            <a:gd name="connsiteX3" fmla="*/ 0 w 1476375"/>
            <a:gd name="connsiteY3" fmla="*/ 4191000 h 4191000"/>
            <a:gd name="connsiteX4" fmla="*/ 0 w 1476375"/>
            <a:gd name="connsiteY4" fmla="*/ 0 h 4191000"/>
            <a:gd name="connsiteX0" fmla="*/ 0 w 3114675"/>
            <a:gd name="connsiteY0" fmla="*/ 0 h 4191000"/>
            <a:gd name="connsiteX1" fmla="*/ 1476375 w 3114675"/>
            <a:gd name="connsiteY1" fmla="*/ 0 h 4191000"/>
            <a:gd name="connsiteX2" fmla="*/ 3114675 w 3114675"/>
            <a:gd name="connsiteY2" fmla="*/ 2933700 h 4191000"/>
            <a:gd name="connsiteX3" fmla="*/ 1476375 w 3114675"/>
            <a:gd name="connsiteY3" fmla="*/ 4191000 h 4191000"/>
            <a:gd name="connsiteX4" fmla="*/ 0 w 3114675"/>
            <a:gd name="connsiteY4" fmla="*/ 4191000 h 4191000"/>
            <a:gd name="connsiteX5" fmla="*/ 0 w 3114675"/>
            <a:gd name="connsiteY5" fmla="*/ 0 h 4191000"/>
            <a:gd name="connsiteX0" fmla="*/ 0 w 4016375"/>
            <a:gd name="connsiteY0" fmla="*/ 0 h 4191000"/>
            <a:gd name="connsiteX1" fmla="*/ 1476375 w 4016375"/>
            <a:gd name="connsiteY1" fmla="*/ 0 h 4191000"/>
            <a:gd name="connsiteX2" fmla="*/ 3114675 w 4016375"/>
            <a:gd name="connsiteY2" fmla="*/ 2933700 h 4191000"/>
            <a:gd name="connsiteX3" fmla="*/ 1476375 w 4016375"/>
            <a:gd name="connsiteY3" fmla="*/ 4191000 h 4191000"/>
            <a:gd name="connsiteX4" fmla="*/ 0 w 4016375"/>
            <a:gd name="connsiteY4" fmla="*/ 4191000 h 4191000"/>
            <a:gd name="connsiteX5" fmla="*/ 0 w 4016375"/>
            <a:gd name="connsiteY5" fmla="*/ 0 h 4191000"/>
            <a:gd name="connsiteX0" fmla="*/ 0 w 4016375"/>
            <a:gd name="connsiteY0" fmla="*/ 0 h 4191000"/>
            <a:gd name="connsiteX1" fmla="*/ 1076325 w 4016375"/>
            <a:gd name="connsiteY1" fmla="*/ 19050 h 4191000"/>
            <a:gd name="connsiteX2" fmla="*/ 3114675 w 4016375"/>
            <a:gd name="connsiteY2" fmla="*/ 2933700 h 4191000"/>
            <a:gd name="connsiteX3" fmla="*/ 1476375 w 4016375"/>
            <a:gd name="connsiteY3" fmla="*/ 4191000 h 4191000"/>
            <a:gd name="connsiteX4" fmla="*/ 0 w 4016375"/>
            <a:gd name="connsiteY4" fmla="*/ 4191000 h 4191000"/>
            <a:gd name="connsiteX5" fmla="*/ 0 w 4016375"/>
            <a:gd name="connsiteY5" fmla="*/ 0 h 4191000"/>
            <a:gd name="connsiteX0" fmla="*/ 0 w 3422650"/>
            <a:gd name="connsiteY0" fmla="*/ 0 h 4191000"/>
            <a:gd name="connsiteX1" fmla="*/ 1076325 w 3422650"/>
            <a:gd name="connsiteY1" fmla="*/ 19050 h 4191000"/>
            <a:gd name="connsiteX2" fmla="*/ 952500 w 3422650"/>
            <a:gd name="connsiteY2" fmla="*/ 1885950 h 4191000"/>
            <a:gd name="connsiteX3" fmla="*/ 3114675 w 3422650"/>
            <a:gd name="connsiteY3" fmla="*/ 2933700 h 4191000"/>
            <a:gd name="connsiteX4" fmla="*/ 1476375 w 3422650"/>
            <a:gd name="connsiteY4" fmla="*/ 4191000 h 4191000"/>
            <a:gd name="connsiteX5" fmla="*/ 0 w 3422650"/>
            <a:gd name="connsiteY5" fmla="*/ 4191000 h 4191000"/>
            <a:gd name="connsiteX6" fmla="*/ 0 w 3422650"/>
            <a:gd name="connsiteY6" fmla="*/ 0 h 4191000"/>
            <a:gd name="connsiteX0" fmla="*/ 0 w 3422650"/>
            <a:gd name="connsiteY0" fmla="*/ 0 h 4191000"/>
            <a:gd name="connsiteX1" fmla="*/ 1076325 w 3422650"/>
            <a:gd name="connsiteY1" fmla="*/ 19050 h 4191000"/>
            <a:gd name="connsiteX2" fmla="*/ 1990725 w 3422650"/>
            <a:gd name="connsiteY2" fmla="*/ 1000125 h 4191000"/>
            <a:gd name="connsiteX3" fmla="*/ 952500 w 3422650"/>
            <a:gd name="connsiteY3" fmla="*/ 1885950 h 4191000"/>
            <a:gd name="connsiteX4" fmla="*/ 3114675 w 3422650"/>
            <a:gd name="connsiteY4" fmla="*/ 2933700 h 4191000"/>
            <a:gd name="connsiteX5" fmla="*/ 1476375 w 3422650"/>
            <a:gd name="connsiteY5" fmla="*/ 4191000 h 4191000"/>
            <a:gd name="connsiteX6" fmla="*/ 0 w 3422650"/>
            <a:gd name="connsiteY6" fmla="*/ 4191000 h 4191000"/>
            <a:gd name="connsiteX7" fmla="*/ 0 w 3422650"/>
            <a:gd name="connsiteY7" fmla="*/ 0 h 4191000"/>
            <a:gd name="connsiteX0" fmla="*/ 0 w 3392488"/>
            <a:gd name="connsiteY0" fmla="*/ 0 h 4191000"/>
            <a:gd name="connsiteX1" fmla="*/ 1076325 w 3392488"/>
            <a:gd name="connsiteY1" fmla="*/ 19050 h 4191000"/>
            <a:gd name="connsiteX2" fmla="*/ 1990725 w 3392488"/>
            <a:gd name="connsiteY2" fmla="*/ 1000125 h 4191000"/>
            <a:gd name="connsiteX3" fmla="*/ 952500 w 3392488"/>
            <a:gd name="connsiteY3" fmla="*/ 1885950 h 4191000"/>
            <a:gd name="connsiteX4" fmla="*/ 1771650 w 3392488"/>
            <a:gd name="connsiteY4" fmla="*/ 2686050 h 4191000"/>
            <a:gd name="connsiteX5" fmla="*/ 3114675 w 3392488"/>
            <a:gd name="connsiteY5" fmla="*/ 2933700 h 4191000"/>
            <a:gd name="connsiteX6" fmla="*/ 1476375 w 3392488"/>
            <a:gd name="connsiteY6" fmla="*/ 4191000 h 4191000"/>
            <a:gd name="connsiteX7" fmla="*/ 0 w 3392488"/>
            <a:gd name="connsiteY7" fmla="*/ 4191000 h 4191000"/>
            <a:gd name="connsiteX8" fmla="*/ 0 w 3392488"/>
            <a:gd name="connsiteY8" fmla="*/ 0 h 4191000"/>
            <a:gd name="connsiteX0" fmla="*/ 0 w 2011362"/>
            <a:gd name="connsiteY0" fmla="*/ 0 h 4191000"/>
            <a:gd name="connsiteX1" fmla="*/ 1076325 w 2011362"/>
            <a:gd name="connsiteY1" fmla="*/ 19050 h 4191000"/>
            <a:gd name="connsiteX2" fmla="*/ 1990725 w 2011362"/>
            <a:gd name="connsiteY2" fmla="*/ 1000125 h 4191000"/>
            <a:gd name="connsiteX3" fmla="*/ 952500 w 2011362"/>
            <a:gd name="connsiteY3" fmla="*/ 1885950 h 4191000"/>
            <a:gd name="connsiteX4" fmla="*/ 1771650 w 2011362"/>
            <a:gd name="connsiteY4" fmla="*/ 2686050 h 4191000"/>
            <a:gd name="connsiteX5" fmla="*/ 1390650 w 2011362"/>
            <a:gd name="connsiteY5" fmla="*/ 3667124 h 4191000"/>
            <a:gd name="connsiteX6" fmla="*/ 1476375 w 2011362"/>
            <a:gd name="connsiteY6" fmla="*/ 4191000 h 4191000"/>
            <a:gd name="connsiteX7" fmla="*/ 0 w 2011362"/>
            <a:gd name="connsiteY7" fmla="*/ 4191000 h 4191000"/>
            <a:gd name="connsiteX8" fmla="*/ 0 w 2011362"/>
            <a:gd name="connsiteY8" fmla="*/ 0 h 4191000"/>
            <a:gd name="connsiteX0" fmla="*/ 0 w 2011362"/>
            <a:gd name="connsiteY0" fmla="*/ 0 h 4191000"/>
            <a:gd name="connsiteX1" fmla="*/ 1076325 w 2011362"/>
            <a:gd name="connsiteY1" fmla="*/ 19050 h 4191000"/>
            <a:gd name="connsiteX2" fmla="*/ 1990725 w 2011362"/>
            <a:gd name="connsiteY2" fmla="*/ 1000125 h 4191000"/>
            <a:gd name="connsiteX3" fmla="*/ 952500 w 2011362"/>
            <a:gd name="connsiteY3" fmla="*/ 1885950 h 4191000"/>
            <a:gd name="connsiteX4" fmla="*/ 1771650 w 2011362"/>
            <a:gd name="connsiteY4" fmla="*/ 2686050 h 4191000"/>
            <a:gd name="connsiteX5" fmla="*/ 1390650 w 2011362"/>
            <a:gd name="connsiteY5" fmla="*/ 3667124 h 4191000"/>
            <a:gd name="connsiteX6" fmla="*/ 771525 w 2011362"/>
            <a:gd name="connsiteY6" fmla="*/ 4190999 h 4191000"/>
            <a:gd name="connsiteX7" fmla="*/ 0 w 2011362"/>
            <a:gd name="connsiteY7" fmla="*/ 4191000 h 4191000"/>
            <a:gd name="connsiteX8" fmla="*/ 0 w 2011362"/>
            <a:gd name="connsiteY8" fmla="*/ 0 h 4191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2011362" h="4191000">
              <a:moveTo>
                <a:pt x="0" y="0"/>
              </a:moveTo>
              <a:lnTo>
                <a:pt x="1076325" y="19050"/>
              </a:lnTo>
              <a:cubicBezTo>
                <a:pt x="1279525" y="104775"/>
                <a:pt x="2011362" y="688975"/>
                <a:pt x="1990725" y="1000125"/>
              </a:cubicBezTo>
              <a:cubicBezTo>
                <a:pt x="1970088" y="1311275"/>
                <a:pt x="989012" y="1604963"/>
                <a:pt x="952500" y="1885950"/>
              </a:cubicBezTo>
              <a:cubicBezTo>
                <a:pt x="915988" y="2166937"/>
                <a:pt x="1698625" y="2389188"/>
                <a:pt x="1771650" y="2686050"/>
              </a:cubicBezTo>
              <a:cubicBezTo>
                <a:pt x="1844675" y="2982912"/>
                <a:pt x="1668463" y="3448049"/>
                <a:pt x="1390650" y="3667124"/>
              </a:cubicBezTo>
              <a:lnTo>
                <a:pt x="771525" y="4190999"/>
              </a:lnTo>
              <a:lnTo>
                <a:pt x="0" y="4191000"/>
              </a:lnTo>
              <a:lnTo>
                <a:pt x="0" y="0"/>
              </a:lnTo>
              <a:close/>
            </a:path>
          </a:pathLst>
        </a:custGeom>
        <a:solidFill>
          <a:srgbClr val="75923C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U</a:t>
          </a:r>
        </a:p>
      </xdr:txBody>
    </xdr:sp>
    <xdr:clientData/>
  </xdr:twoCellAnchor>
  <xdr:twoCellAnchor>
    <xdr:from>
      <xdr:col>29</xdr:col>
      <xdr:colOff>1269816</xdr:colOff>
      <xdr:row>44</xdr:row>
      <xdr:rowOff>167238</xdr:rowOff>
    </xdr:from>
    <xdr:to>
      <xdr:col>31</xdr:col>
      <xdr:colOff>128668</xdr:colOff>
      <xdr:row>49</xdr:row>
      <xdr:rowOff>146408</xdr:rowOff>
    </xdr:to>
    <xdr:sp macro="" textlink="">
      <xdr:nvSpPr>
        <xdr:cNvPr id="253" name="I_Area"/>
        <xdr:cNvSpPr/>
      </xdr:nvSpPr>
      <xdr:spPr>
        <a:xfrm>
          <a:off x="37848889" y="8278851"/>
          <a:ext cx="1332279" cy="900944"/>
        </a:xfrm>
        <a:prstGeom prst="rect">
          <a:avLst/>
        </a:prstGeom>
        <a:solidFill>
          <a:srgbClr val="FAC090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I</a:t>
          </a:r>
        </a:p>
      </xdr:txBody>
    </xdr:sp>
    <xdr:clientData/>
  </xdr:twoCellAnchor>
  <xdr:twoCellAnchor>
    <xdr:from>
      <xdr:col>27</xdr:col>
      <xdr:colOff>46089</xdr:colOff>
      <xdr:row>25</xdr:row>
      <xdr:rowOff>59859</xdr:rowOff>
    </xdr:from>
    <xdr:to>
      <xdr:col>30</xdr:col>
      <xdr:colOff>24097</xdr:colOff>
      <xdr:row>40</xdr:row>
      <xdr:rowOff>155986</xdr:rowOff>
    </xdr:to>
    <xdr:sp macro="" textlink="">
      <xdr:nvSpPr>
        <xdr:cNvPr id="254" name="T_Area"/>
        <xdr:cNvSpPr/>
      </xdr:nvSpPr>
      <xdr:spPr>
        <a:xfrm>
          <a:off x="34059557" y="4668730"/>
          <a:ext cx="3849459" cy="2861450"/>
        </a:xfrm>
        <a:custGeom>
          <a:avLst/>
          <a:gdLst>
            <a:gd name="connsiteX0" fmla="*/ 0 w 1790700"/>
            <a:gd name="connsiteY0" fmla="*/ 0 h 2895601"/>
            <a:gd name="connsiteX1" fmla="*/ 1790700 w 1790700"/>
            <a:gd name="connsiteY1" fmla="*/ 0 h 2895601"/>
            <a:gd name="connsiteX2" fmla="*/ 1790700 w 1790700"/>
            <a:gd name="connsiteY2" fmla="*/ 2895601 h 2895601"/>
            <a:gd name="connsiteX3" fmla="*/ 0 w 1790700"/>
            <a:gd name="connsiteY3" fmla="*/ 2895601 h 2895601"/>
            <a:gd name="connsiteX4" fmla="*/ 0 w 1790700"/>
            <a:gd name="connsiteY4" fmla="*/ 0 h 2895601"/>
            <a:gd name="connsiteX0" fmla="*/ 876300 w 2667000"/>
            <a:gd name="connsiteY0" fmla="*/ 0 h 2895601"/>
            <a:gd name="connsiteX1" fmla="*/ 2667000 w 2667000"/>
            <a:gd name="connsiteY1" fmla="*/ 0 h 2895601"/>
            <a:gd name="connsiteX2" fmla="*/ 2667000 w 2667000"/>
            <a:gd name="connsiteY2" fmla="*/ 2895601 h 2895601"/>
            <a:gd name="connsiteX3" fmla="*/ 876300 w 2667000"/>
            <a:gd name="connsiteY3" fmla="*/ 2895601 h 2895601"/>
            <a:gd name="connsiteX4" fmla="*/ 0 w 2667000"/>
            <a:gd name="connsiteY4" fmla="*/ 2228851 h 2895601"/>
            <a:gd name="connsiteX5" fmla="*/ 876300 w 2667000"/>
            <a:gd name="connsiteY5" fmla="*/ 0 h 2895601"/>
            <a:gd name="connsiteX0" fmla="*/ 2079625 w 3870325"/>
            <a:gd name="connsiteY0" fmla="*/ 0 h 2895601"/>
            <a:gd name="connsiteX1" fmla="*/ 3870325 w 3870325"/>
            <a:gd name="connsiteY1" fmla="*/ 0 h 2895601"/>
            <a:gd name="connsiteX2" fmla="*/ 3870325 w 3870325"/>
            <a:gd name="connsiteY2" fmla="*/ 2895601 h 2895601"/>
            <a:gd name="connsiteX3" fmla="*/ 2079625 w 3870325"/>
            <a:gd name="connsiteY3" fmla="*/ 2895601 h 2895601"/>
            <a:gd name="connsiteX4" fmla="*/ 1203325 w 3870325"/>
            <a:gd name="connsiteY4" fmla="*/ 2228851 h 2895601"/>
            <a:gd name="connsiteX5" fmla="*/ 2079625 w 3870325"/>
            <a:gd name="connsiteY5" fmla="*/ 0 h 289560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3870325" h="2895601">
              <a:moveTo>
                <a:pt x="2079625" y="0"/>
              </a:moveTo>
              <a:lnTo>
                <a:pt x="3870325" y="0"/>
              </a:lnTo>
              <a:lnTo>
                <a:pt x="3870325" y="2895601"/>
              </a:lnTo>
              <a:lnTo>
                <a:pt x="2079625" y="2895601"/>
              </a:lnTo>
              <a:lnTo>
                <a:pt x="1203325" y="2228851"/>
              </a:lnTo>
              <a:cubicBezTo>
                <a:pt x="0" y="1104901"/>
                <a:pt x="1787525" y="742950"/>
                <a:pt x="2079625" y="0"/>
              </a:cubicBezTo>
              <a:close/>
            </a:path>
          </a:pathLst>
        </a:custGeom>
        <a:solidFill>
          <a:srgbClr val="C2D69A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T</a:t>
          </a:r>
        </a:p>
      </xdr:txBody>
    </xdr:sp>
    <xdr:clientData/>
  </xdr:twoCellAnchor>
  <xdr:twoCellAnchor>
    <xdr:from>
      <xdr:col>29</xdr:col>
      <xdr:colOff>1250829</xdr:colOff>
      <xdr:row>36</xdr:row>
      <xdr:rowOff>100321</xdr:rowOff>
    </xdr:from>
    <xdr:to>
      <xdr:col>31</xdr:col>
      <xdr:colOff>14744</xdr:colOff>
      <xdr:row>40</xdr:row>
      <xdr:rowOff>108400</xdr:rowOff>
    </xdr:to>
    <xdr:sp macro="" textlink="">
      <xdr:nvSpPr>
        <xdr:cNvPr id="255" name="G_Area"/>
        <xdr:cNvSpPr/>
      </xdr:nvSpPr>
      <xdr:spPr>
        <a:xfrm>
          <a:off x="37829902" y="6737095"/>
          <a:ext cx="1237342" cy="745499"/>
        </a:xfrm>
        <a:prstGeom prst="rect">
          <a:avLst/>
        </a:prstGeom>
        <a:solidFill>
          <a:srgbClr val="FCD5B4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G</a:t>
          </a:r>
        </a:p>
      </xdr:txBody>
    </xdr:sp>
    <xdr:clientData/>
  </xdr:twoCellAnchor>
  <xdr:twoCellAnchor>
    <xdr:from>
      <xdr:col>29</xdr:col>
      <xdr:colOff>1222348</xdr:colOff>
      <xdr:row>33</xdr:row>
      <xdr:rowOff>6228</xdr:rowOff>
    </xdr:from>
    <xdr:to>
      <xdr:col>31</xdr:col>
      <xdr:colOff>43225</xdr:colOff>
      <xdr:row>36</xdr:row>
      <xdr:rowOff>166940</xdr:rowOff>
    </xdr:to>
    <xdr:sp macro="" textlink="">
      <xdr:nvSpPr>
        <xdr:cNvPr id="256" name="F_Area"/>
        <xdr:cNvSpPr/>
      </xdr:nvSpPr>
      <xdr:spPr>
        <a:xfrm>
          <a:off x="37801421" y="6089938"/>
          <a:ext cx="1294304" cy="713776"/>
        </a:xfrm>
        <a:prstGeom prst="rect">
          <a:avLst/>
        </a:prstGeom>
        <a:solidFill>
          <a:srgbClr val="FDE9D9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F</a:t>
          </a:r>
        </a:p>
      </xdr:txBody>
    </xdr:sp>
    <xdr:clientData/>
  </xdr:twoCellAnchor>
  <xdr:twoCellAnchor>
    <xdr:from>
      <xdr:col>29</xdr:col>
      <xdr:colOff>1013487</xdr:colOff>
      <xdr:row>26</xdr:row>
      <xdr:rowOff>135635</xdr:rowOff>
    </xdr:from>
    <xdr:to>
      <xdr:col>31</xdr:col>
      <xdr:colOff>185630</xdr:colOff>
      <xdr:row>33</xdr:row>
      <xdr:rowOff>82364</xdr:rowOff>
    </xdr:to>
    <xdr:sp macro="" textlink="">
      <xdr:nvSpPr>
        <xdr:cNvPr id="257" name="E_Area"/>
        <xdr:cNvSpPr/>
      </xdr:nvSpPr>
      <xdr:spPr>
        <a:xfrm>
          <a:off x="37592560" y="4928861"/>
          <a:ext cx="1645570" cy="1237213"/>
        </a:xfrm>
        <a:custGeom>
          <a:avLst/>
          <a:gdLst>
            <a:gd name="connsiteX0" fmla="*/ 0 w 1514475"/>
            <a:gd name="connsiteY0" fmla="*/ 0 h 1247775"/>
            <a:gd name="connsiteX1" fmla="*/ 1514475 w 1514475"/>
            <a:gd name="connsiteY1" fmla="*/ 0 h 1247775"/>
            <a:gd name="connsiteX2" fmla="*/ 1514475 w 1514475"/>
            <a:gd name="connsiteY2" fmla="*/ 1247775 h 1247775"/>
            <a:gd name="connsiteX3" fmla="*/ 0 w 1514475"/>
            <a:gd name="connsiteY3" fmla="*/ 1247775 h 1247775"/>
            <a:gd name="connsiteX4" fmla="*/ 0 w 1514475"/>
            <a:gd name="connsiteY4" fmla="*/ 0 h 1247775"/>
            <a:gd name="connsiteX0" fmla="*/ 0 w 1581150"/>
            <a:gd name="connsiteY0" fmla="*/ 0 h 1819275"/>
            <a:gd name="connsiteX1" fmla="*/ 1581150 w 1581150"/>
            <a:gd name="connsiteY1" fmla="*/ 571500 h 1819275"/>
            <a:gd name="connsiteX2" fmla="*/ 1581150 w 1581150"/>
            <a:gd name="connsiteY2" fmla="*/ 1819275 h 1819275"/>
            <a:gd name="connsiteX3" fmla="*/ 66675 w 1581150"/>
            <a:gd name="connsiteY3" fmla="*/ 1819275 h 1819275"/>
            <a:gd name="connsiteX4" fmla="*/ 0 w 1581150"/>
            <a:gd name="connsiteY4" fmla="*/ 0 h 1819275"/>
            <a:gd name="connsiteX0" fmla="*/ 0 w 1581150"/>
            <a:gd name="connsiteY0" fmla="*/ 0 h 1819275"/>
            <a:gd name="connsiteX1" fmla="*/ 1581150 w 1581150"/>
            <a:gd name="connsiteY1" fmla="*/ 571500 h 1819275"/>
            <a:gd name="connsiteX2" fmla="*/ 1581150 w 1581150"/>
            <a:gd name="connsiteY2" fmla="*/ 1819275 h 1819275"/>
            <a:gd name="connsiteX3" fmla="*/ 66675 w 1581150"/>
            <a:gd name="connsiteY3" fmla="*/ 1819275 h 1819275"/>
            <a:gd name="connsiteX4" fmla="*/ 0 w 1581150"/>
            <a:gd name="connsiteY4" fmla="*/ 0 h 1819275"/>
            <a:gd name="connsiteX0" fmla="*/ 0 w 1581150"/>
            <a:gd name="connsiteY0" fmla="*/ 0 h 1819275"/>
            <a:gd name="connsiteX1" fmla="*/ 381000 w 1581150"/>
            <a:gd name="connsiteY1" fmla="*/ 733426 h 1819275"/>
            <a:gd name="connsiteX2" fmla="*/ 1581150 w 1581150"/>
            <a:gd name="connsiteY2" fmla="*/ 571500 h 1819275"/>
            <a:gd name="connsiteX3" fmla="*/ 1581150 w 1581150"/>
            <a:gd name="connsiteY3" fmla="*/ 1819275 h 1819275"/>
            <a:gd name="connsiteX4" fmla="*/ 66675 w 1581150"/>
            <a:gd name="connsiteY4" fmla="*/ 1819275 h 1819275"/>
            <a:gd name="connsiteX5" fmla="*/ 0 w 1581150"/>
            <a:gd name="connsiteY5" fmla="*/ 0 h 1819275"/>
            <a:gd name="connsiteX0" fmla="*/ 0 w 1581150"/>
            <a:gd name="connsiteY0" fmla="*/ 0 h 1819275"/>
            <a:gd name="connsiteX1" fmla="*/ 333375 w 1581150"/>
            <a:gd name="connsiteY1" fmla="*/ 552451 h 1819275"/>
            <a:gd name="connsiteX2" fmla="*/ 1581150 w 1581150"/>
            <a:gd name="connsiteY2" fmla="*/ 571500 h 1819275"/>
            <a:gd name="connsiteX3" fmla="*/ 1581150 w 1581150"/>
            <a:gd name="connsiteY3" fmla="*/ 1819275 h 1819275"/>
            <a:gd name="connsiteX4" fmla="*/ 66675 w 1581150"/>
            <a:gd name="connsiteY4" fmla="*/ 1819275 h 1819275"/>
            <a:gd name="connsiteX5" fmla="*/ 0 w 1581150"/>
            <a:gd name="connsiteY5" fmla="*/ 0 h 18192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581150" h="1819275">
              <a:moveTo>
                <a:pt x="0" y="0"/>
              </a:moveTo>
              <a:lnTo>
                <a:pt x="333375" y="552451"/>
              </a:lnTo>
              <a:lnTo>
                <a:pt x="1581150" y="571500"/>
              </a:lnTo>
              <a:lnTo>
                <a:pt x="1581150" y="1819275"/>
              </a:lnTo>
              <a:lnTo>
                <a:pt x="66675" y="1819275"/>
              </a:lnTo>
              <a:lnTo>
                <a:pt x="0" y="0"/>
              </a:lnTo>
              <a:close/>
            </a:path>
          </a:pathLst>
        </a:custGeom>
        <a:solidFill>
          <a:srgbClr val="4F6228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E</a:t>
          </a:r>
        </a:p>
      </xdr:txBody>
    </xdr:sp>
    <xdr:clientData/>
  </xdr:twoCellAnchor>
  <xdr:twoCellAnchor>
    <xdr:from>
      <xdr:col>29</xdr:col>
      <xdr:colOff>1231842</xdr:colOff>
      <xdr:row>26</xdr:row>
      <xdr:rowOff>2398</xdr:rowOff>
    </xdr:from>
    <xdr:to>
      <xdr:col>31</xdr:col>
      <xdr:colOff>1036446</xdr:colOff>
      <xdr:row>28</xdr:row>
      <xdr:rowOff>147608</xdr:rowOff>
    </xdr:to>
    <xdr:sp macro="" textlink="">
      <xdr:nvSpPr>
        <xdr:cNvPr id="258" name="D_Area"/>
        <xdr:cNvSpPr/>
      </xdr:nvSpPr>
      <xdr:spPr>
        <a:xfrm>
          <a:off x="37810915" y="4795624"/>
          <a:ext cx="2278031" cy="513919"/>
        </a:xfrm>
        <a:prstGeom prst="rect">
          <a:avLst/>
        </a:prstGeom>
        <a:solidFill>
          <a:srgbClr val="75923C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D</a:t>
          </a:r>
        </a:p>
      </xdr:txBody>
    </xdr:sp>
    <xdr:clientData/>
  </xdr:twoCellAnchor>
  <xdr:twoCellAnchor>
    <xdr:from>
      <xdr:col>29</xdr:col>
      <xdr:colOff>824971</xdr:colOff>
      <xdr:row>20</xdr:row>
      <xdr:rowOff>134620</xdr:rowOff>
    </xdr:from>
    <xdr:to>
      <xdr:col>31</xdr:col>
      <xdr:colOff>1178851</xdr:colOff>
      <xdr:row>26</xdr:row>
      <xdr:rowOff>75363</xdr:rowOff>
    </xdr:to>
    <xdr:sp macro="" textlink="">
      <xdr:nvSpPr>
        <xdr:cNvPr id="259" name="C_Area"/>
        <xdr:cNvSpPr/>
      </xdr:nvSpPr>
      <xdr:spPr>
        <a:xfrm>
          <a:off x="37404044" y="3821717"/>
          <a:ext cx="2827307" cy="1046872"/>
        </a:xfrm>
        <a:prstGeom prst="rect">
          <a:avLst/>
        </a:prstGeom>
        <a:solidFill>
          <a:srgbClr val="C2D69A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C </a:t>
          </a:r>
        </a:p>
      </xdr:txBody>
    </xdr:sp>
    <xdr:clientData/>
  </xdr:twoCellAnchor>
  <xdr:twoCellAnchor>
    <xdr:from>
      <xdr:col>27</xdr:col>
      <xdr:colOff>1169506</xdr:colOff>
      <xdr:row>15</xdr:row>
      <xdr:rowOff>44419</xdr:rowOff>
    </xdr:from>
    <xdr:to>
      <xdr:col>30</xdr:col>
      <xdr:colOff>907007</xdr:colOff>
      <xdr:row>30</xdr:row>
      <xdr:rowOff>58065</xdr:rowOff>
    </xdr:to>
    <xdr:sp macro="" textlink="">
      <xdr:nvSpPr>
        <xdr:cNvPr id="260" name="B_Area"/>
        <xdr:cNvSpPr/>
      </xdr:nvSpPr>
      <xdr:spPr>
        <a:xfrm>
          <a:off x="35182974" y="2809742"/>
          <a:ext cx="3608952" cy="2778968"/>
        </a:xfrm>
        <a:custGeom>
          <a:avLst/>
          <a:gdLst>
            <a:gd name="connsiteX0" fmla="*/ 0 w 1476375"/>
            <a:gd name="connsiteY0" fmla="*/ 0 h 962025"/>
            <a:gd name="connsiteX1" fmla="*/ 1476375 w 1476375"/>
            <a:gd name="connsiteY1" fmla="*/ 0 h 962025"/>
            <a:gd name="connsiteX2" fmla="*/ 1476375 w 1476375"/>
            <a:gd name="connsiteY2" fmla="*/ 962025 h 962025"/>
            <a:gd name="connsiteX3" fmla="*/ 0 w 1476375"/>
            <a:gd name="connsiteY3" fmla="*/ 962025 h 962025"/>
            <a:gd name="connsiteX4" fmla="*/ 0 w 1476375"/>
            <a:gd name="connsiteY4" fmla="*/ 0 h 962025"/>
            <a:gd name="connsiteX0" fmla="*/ 0 w 1476375"/>
            <a:gd name="connsiteY0" fmla="*/ 219075 h 1181100"/>
            <a:gd name="connsiteX1" fmla="*/ 695325 w 1476375"/>
            <a:gd name="connsiteY1" fmla="*/ 0 h 1181100"/>
            <a:gd name="connsiteX2" fmla="*/ 1476375 w 1476375"/>
            <a:gd name="connsiteY2" fmla="*/ 219075 h 1181100"/>
            <a:gd name="connsiteX3" fmla="*/ 1476375 w 1476375"/>
            <a:gd name="connsiteY3" fmla="*/ 1181100 h 1181100"/>
            <a:gd name="connsiteX4" fmla="*/ 0 w 1476375"/>
            <a:gd name="connsiteY4" fmla="*/ 1181100 h 1181100"/>
            <a:gd name="connsiteX5" fmla="*/ 0 w 1476375"/>
            <a:gd name="connsiteY5" fmla="*/ 219075 h 1181100"/>
            <a:gd name="connsiteX0" fmla="*/ 9525 w 1485900"/>
            <a:gd name="connsiteY0" fmla="*/ 285750 h 1247775"/>
            <a:gd name="connsiteX1" fmla="*/ 0 w 1485900"/>
            <a:gd name="connsiteY1" fmla="*/ 0 h 1247775"/>
            <a:gd name="connsiteX2" fmla="*/ 704850 w 1485900"/>
            <a:gd name="connsiteY2" fmla="*/ 66675 h 1247775"/>
            <a:gd name="connsiteX3" fmla="*/ 1485900 w 1485900"/>
            <a:gd name="connsiteY3" fmla="*/ 285750 h 1247775"/>
            <a:gd name="connsiteX4" fmla="*/ 1485900 w 1485900"/>
            <a:gd name="connsiteY4" fmla="*/ 1247775 h 1247775"/>
            <a:gd name="connsiteX5" fmla="*/ 9525 w 1485900"/>
            <a:gd name="connsiteY5" fmla="*/ 1247775 h 1247775"/>
            <a:gd name="connsiteX6" fmla="*/ 9525 w 1485900"/>
            <a:gd name="connsiteY6" fmla="*/ 285750 h 1247775"/>
            <a:gd name="connsiteX0" fmla="*/ 9525 w 1485900"/>
            <a:gd name="connsiteY0" fmla="*/ 587375 h 1549400"/>
            <a:gd name="connsiteX1" fmla="*/ 0 w 1485900"/>
            <a:gd name="connsiteY1" fmla="*/ 301625 h 1549400"/>
            <a:gd name="connsiteX2" fmla="*/ 704850 w 1485900"/>
            <a:gd name="connsiteY2" fmla="*/ 368300 h 1549400"/>
            <a:gd name="connsiteX3" fmla="*/ 1485900 w 1485900"/>
            <a:gd name="connsiteY3" fmla="*/ 587375 h 1549400"/>
            <a:gd name="connsiteX4" fmla="*/ 1485900 w 1485900"/>
            <a:gd name="connsiteY4" fmla="*/ 1549400 h 1549400"/>
            <a:gd name="connsiteX5" fmla="*/ 9525 w 1485900"/>
            <a:gd name="connsiteY5" fmla="*/ 1549400 h 1549400"/>
            <a:gd name="connsiteX6" fmla="*/ 9525 w 1485900"/>
            <a:gd name="connsiteY6" fmla="*/ 587375 h 1549400"/>
            <a:gd name="connsiteX0" fmla="*/ 0 w 2247900"/>
            <a:gd name="connsiteY0" fmla="*/ 806450 h 1549400"/>
            <a:gd name="connsiteX1" fmla="*/ 762000 w 2247900"/>
            <a:gd name="connsiteY1" fmla="*/ 301625 h 1549400"/>
            <a:gd name="connsiteX2" fmla="*/ 1466850 w 2247900"/>
            <a:gd name="connsiteY2" fmla="*/ 368300 h 1549400"/>
            <a:gd name="connsiteX3" fmla="*/ 2247900 w 2247900"/>
            <a:gd name="connsiteY3" fmla="*/ 587375 h 1549400"/>
            <a:gd name="connsiteX4" fmla="*/ 2247900 w 2247900"/>
            <a:gd name="connsiteY4" fmla="*/ 1549400 h 1549400"/>
            <a:gd name="connsiteX5" fmla="*/ 771525 w 2247900"/>
            <a:gd name="connsiteY5" fmla="*/ 1549400 h 1549400"/>
            <a:gd name="connsiteX6" fmla="*/ 0 w 2247900"/>
            <a:gd name="connsiteY6" fmla="*/ 806450 h 1549400"/>
            <a:gd name="connsiteX0" fmla="*/ 0 w 2495550"/>
            <a:gd name="connsiteY0" fmla="*/ 815975 h 1549400"/>
            <a:gd name="connsiteX1" fmla="*/ 1009650 w 2495550"/>
            <a:gd name="connsiteY1" fmla="*/ 301625 h 1549400"/>
            <a:gd name="connsiteX2" fmla="*/ 1714500 w 2495550"/>
            <a:gd name="connsiteY2" fmla="*/ 368300 h 1549400"/>
            <a:gd name="connsiteX3" fmla="*/ 2495550 w 2495550"/>
            <a:gd name="connsiteY3" fmla="*/ 587375 h 1549400"/>
            <a:gd name="connsiteX4" fmla="*/ 2495550 w 2495550"/>
            <a:gd name="connsiteY4" fmla="*/ 1549400 h 1549400"/>
            <a:gd name="connsiteX5" fmla="*/ 1019175 w 2495550"/>
            <a:gd name="connsiteY5" fmla="*/ 1549400 h 1549400"/>
            <a:gd name="connsiteX6" fmla="*/ 0 w 2495550"/>
            <a:gd name="connsiteY6" fmla="*/ 815975 h 1549400"/>
            <a:gd name="connsiteX0" fmla="*/ 0 w 2495550"/>
            <a:gd name="connsiteY0" fmla="*/ 754061 h 1487486"/>
            <a:gd name="connsiteX1" fmla="*/ 1009650 w 2495550"/>
            <a:gd name="connsiteY1" fmla="*/ 239711 h 1487486"/>
            <a:gd name="connsiteX2" fmla="*/ 1514475 w 2495550"/>
            <a:gd name="connsiteY2" fmla="*/ 11112 h 1487486"/>
            <a:gd name="connsiteX3" fmla="*/ 1714500 w 2495550"/>
            <a:gd name="connsiteY3" fmla="*/ 306386 h 1487486"/>
            <a:gd name="connsiteX4" fmla="*/ 2495550 w 2495550"/>
            <a:gd name="connsiteY4" fmla="*/ 525461 h 1487486"/>
            <a:gd name="connsiteX5" fmla="*/ 2495550 w 2495550"/>
            <a:gd name="connsiteY5" fmla="*/ 1487486 h 1487486"/>
            <a:gd name="connsiteX6" fmla="*/ 1019175 w 2495550"/>
            <a:gd name="connsiteY6" fmla="*/ 1487486 h 1487486"/>
            <a:gd name="connsiteX7" fmla="*/ 0 w 2495550"/>
            <a:gd name="connsiteY7" fmla="*/ 754061 h 1487486"/>
            <a:gd name="connsiteX0" fmla="*/ 0 w 2495550"/>
            <a:gd name="connsiteY0" fmla="*/ 754061 h 1487486"/>
            <a:gd name="connsiteX1" fmla="*/ 857250 w 2495550"/>
            <a:gd name="connsiteY1" fmla="*/ 496887 h 1487486"/>
            <a:gd name="connsiteX2" fmla="*/ 1009650 w 2495550"/>
            <a:gd name="connsiteY2" fmla="*/ 239711 h 1487486"/>
            <a:gd name="connsiteX3" fmla="*/ 1514475 w 2495550"/>
            <a:gd name="connsiteY3" fmla="*/ 11112 h 1487486"/>
            <a:gd name="connsiteX4" fmla="*/ 1714500 w 2495550"/>
            <a:gd name="connsiteY4" fmla="*/ 306386 h 1487486"/>
            <a:gd name="connsiteX5" fmla="*/ 2495550 w 2495550"/>
            <a:gd name="connsiteY5" fmla="*/ 525461 h 1487486"/>
            <a:gd name="connsiteX6" fmla="*/ 2495550 w 2495550"/>
            <a:gd name="connsiteY6" fmla="*/ 1487486 h 1487486"/>
            <a:gd name="connsiteX7" fmla="*/ 1019175 w 2495550"/>
            <a:gd name="connsiteY7" fmla="*/ 1487486 h 1487486"/>
            <a:gd name="connsiteX8" fmla="*/ 0 w 2495550"/>
            <a:gd name="connsiteY8" fmla="*/ 754061 h 1487486"/>
            <a:gd name="connsiteX0" fmla="*/ 0 w 2495550"/>
            <a:gd name="connsiteY0" fmla="*/ 752474 h 1485899"/>
            <a:gd name="connsiteX1" fmla="*/ 857250 w 2495550"/>
            <a:gd name="connsiteY1" fmla="*/ 495300 h 1485899"/>
            <a:gd name="connsiteX2" fmla="*/ 1123950 w 2495550"/>
            <a:gd name="connsiteY2" fmla="*/ 361949 h 1485899"/>
            <a:gd name="connsiteX3" fmla="*/ 1514475 w 2495550"/>
            <a:gd name="connsiteY3" fmla="*/ 9525 h 1485899"/>
            <a:gd name="connsiteX4" fmla="*/ 1714500 w 2495550"/>
            <a:gd name="connsiteY4" fmla="*/ 304799 h 1485899"/>
            <a:gd name="connsiteX5" fmla="*/ 2495550 w 2495550"/>
            <a:gd name="connsiteY5" fmla="*/ 523874 h 1485899"/>
            <a:gd name="connsiteX6" fmla="*/ 2495550 w 2495550"/>
            <a:gd name="connsiteY6" fmla="*/ 1485899 h 1485899"/>
            <a:gd name="connsiteX7" fmla="*/ 1019175 w 2495550"/>
            <a:gd name="connsiteY7" fmla="*/ 1485899 h 1485899"/>
            <a:gd name="connsiteX8" fmla="*/ 0 w 2495550"/>
            <a:gd name="connsiteY8" fmla="*/ 752474 h 1485899"/>
            <a:gd name="connsiteX0" fmla="*/ 0 w 2495550"/>
            <a:gd name="connsiteY0" fmla="*/ 752474 h 1485899"/>
            <a:gd name="connsiteX1" fmla="*/ 438150 w 2495550"/>
            <a:gd name="connsiteY1" fmla="*/ 619125 h 1485899"/>
            <a:gd name="connsiteX2" fmla="*/ 857250 w 2495550"/>
            <a:gd name="connsiteY2" fmla="*/ 495300 h 1485899"/>
            <a:gd name="connsiteX3" fmla="*/ 1123950 w 2495550"/>
            <a:gd name="connsiteY3" fmla="*/ 361949 h 1485899"/>
            <a:gd name="connsiteX4" fmla="*/ 1514475 w 2495550"/>
            <a:gd name="connsiteY4" fmla="*/ 9525 h 1485899"/>
            <a:gd name="connsiteX5" fmla="*/ 1714500 w 2495550"/>
            <a:gd name="connsiteY5" fmla="*/ 304799 h 1485899"/>
            <a:gd name="connsiteX6" fmla="*/ 2495550 w 2495550"/>
            <a:gd name="connsiteY6" fmla="*/ 523874 h 1485899"/>
            <a:gd name="connsiteX7" fmla="*/ 2495550 w 2495550"/>
            <a:gd name="connsiteY7" fmla="*/ 1485899 h 1485899"/>
            <a:gd name="connsiteX8" fmla="*/ 1019175 w 2495550"/>
            <a:gd name="connsiteY8" fmla="*/ 1485899 h 1485899"/>
            <a:gd name="connsiteX9" fmla="*/ 0 w 2495550"/>
            <a:gd name="connsiteY9" fmla="*/ 752474 h 1485899"/>
            <a:gd name="connsiteX0" fmla="*/ 120650 w 2616200"/>
            <a:gd name="connsiteY0" fmla="*/ 752474 h 1485899"/>
            <a:gd name="connsiteX1" fmla="*/ 558800 w 2616200"/>
            <a:gd name="connsiteY1" fmla="*/ 619125 h 1485899"/>
            <a:gd name="connsiteX2" fmla="*/ 977900 w 2616200"/>
            <a:gd name="connsiteY2" fmla="*/ 495300 h 1485899"/>
            <a:gd name="connsiteX3" fmla="*/ 1244600 w 2616200"/>
            <a:gd name="connsiteY3" fmla="*/ 361949 h 1485899"/>
            <a:gd name="connsiteX4" fmla="*/ 1635125 w 2616200"/>
            <a:gd name="connsiteY4" fmla="*/ 9525 h 1485899"/>
            <a:gd name="connsiteX5" fmla="*/ 1835150 w 2616200"/>
            <a:gd name="connsiteY5" fmla="*/ 304799 h 1485899"/>
            <a:gd name="connsiteX6" fmla="*/ 2616200 w 2616200"/>
            <a:gd name="connsiteY6" fmla="*/ 523874 h 1485899"/>
            <a:gd name="connsiteX7" fmla="*/ 2616200 w 2616200"/>
            <a:gd name="connsiteY7" fmla="*/ 1485899 h 1485899"/>
            <a:gd name="connsiteX8" fmla="*/ 1139825 w 2616200"/>
            <a:gd name="connsiteY8" fmla="*/ 1485899 h 1485899"/>
            <a:gd name="connsiteX9" fmla="*/ 120650 w 2616200"/>
            <a:gd name="connsiteY9" fmla="*/ 752474 h 1485899"/>
            <a:gd name="connsiteX0" fmla="*/ 120650 w 2616200"/>
            <a:gd name="connsiteY0" fmla="*/ 752474 h 1485899"/>
            <a:gd name="connsiteX1" fmla="*/ 558800 w 2616200"/>
            <a:gd name="connsiteY1" fmla="*/ 619125 h 1485899"/>
            <a:gd name="connsiteX2" fmla="*/ 977900 w 2616200"/>
            <a:gd name="connsiteY2" fmla="*/ 495300 h 1485899"/>
            <a:gd name="connsiteX3" fmla="*/ 1244600 w 2616200"/>
            <a:gd name="connsiteY3" fmla="*/ 361949 h 1485899"/>
            <a:gd name="connsiteX4" fmla="*/ 1635125 w 2616200"/>
            <a:gd name="connsiteY4" fmla="*/ 9525 h 1485899"/>
            <a:gd name="connsiteX5" fmla="*/ 1835150 w 2616200"/>
            <a:gd name="connsiteY5" fmla="*/ 304799 h 1485899"/>
            <a:gd name="connsiteX6" fmla="*/ 2616200 w 2616200"/>
            <a:gd name="connsiteY6" fmla="*/ 523874 h 1485899"/>
            <a:gd name="connsiteX7" fmla="*/ 2616200 w 2616200"/>
            <a:gd name="connsiteY7" fmla="*/ 1485899 h 1485899"/>
            <a:gd name="connsiteX8" fmla="*/ 1139825 w 2616200"/>
            <a:gd name="connsiteY8" fmla="*/ 1485899 h 1485899"/>
            <a:gd name="connsiteX9" fmla="*/ 120650 w 2616200"/>
            <a:gd name="connsiteY9" fmla="*/ 752474 h 1485899"/>
            <a:gd name="connsiteX0" fmla="*/ 120650 w 2616200"/>
            <a:gd name="connsiteY0" fmla="*/ 752474 h 1485899"/>
            <a:gd name="connsiteX1" fmla="*/ 558800 w 2616200"/>
            <a:gd name="connsiteY1" fmla="*/ 619125 h 1485899"/>
            <a:gd name="connsiteX2" fmla="*/ 977900 w 2616200"/>
            <a:gd name="connsiteY2" fmla="*/ 495300 h 1485899"/>
            <a:gd name="connsiteX3" fmla="*/ 1244600 w 2616200"/>
            <a:gd name="connsiteY3" fmla="*/ 361949 h 1485899"/>
            <a:gd name="connsiteX4" fmla="*/ 1635125 w 2616200"/>
            <a:gd name="connsiteY4" fmla="*/ 9525 h 1485899"/>
            <a:gd name="connsiteX5" fmla="*/ 1835150 w 2616200"/>
            <a:gd name="connsiteY5" fmla="*/ 304799 h 1485899"/>
            <a:gd name="connsiteX6" fmla="*/ 2616200 w 2616200"/>
            <a:gd name="connsiteY6" fmla="*/ 523874 h 1485899"/>
            <a:gd name="connsiteX7" fmla="*/ 2616200 w 2616200"/>
            <a:gd name="connsiteY7" fmla="*/ 1485899 h 1485899"/>
            <a:gd name="connsiteX8" fmla="*/ 1139825 w 2616200"/>
            <a:gd name="connsiteY8" fmla="*/ 1485899 h 1485899"/>
            <a:gd name="connsiteX9" fmla="*/ 120650 w 2616200"/>
            <a:gd name="connsiteY9" fmla="*/ 752474 h 1485899"/>
            <a:gd name="connsiteX0" fmla="*/ 120650 w 2616200"/>
            <a:gd name="connsiteY0" fmla="*/ 752474 h 1485899"/>
            <a:gd name="connsiteX1" fmla="*/ 558800 w 2616200"/>
            <a:gd name="connsiteY1" fmla="*/ 619125 h 1485899"/>
            <a:gd name="connsiteX2" fmla="*/ 463550 w 2616200"/>
            <a:gd name="connsiteY2" fmla="*/ 466725 h 1485899"/>
            <a:gd name="connsiteX3" fmla="*/ 977900 w 2616200"/>
            <a:gd name="connsiteY3" fmla="*/ 495300 h 1485899"/>
            <a:gd name="connsiteX4" fmla="*/ 1244600 w 2616200"/>
            <a:gd name="connsiteY4" fmla="*/ 361949 h 1485899"/>
            <a:gd name="connsiteX5" fmla="*/ 1635125 w 2616200"/>
            <a:gd name="connsiteY5" fmla="*/ 9525 h 1485899"/>
            <a:gd name="connsiteX6" fmla="*/ 1835150 w 2616200"/>
            <a:gd name="connsiteY6" fmla="*/ 304799 h 1485899"/>
            <a:gd name="connsiteX7" fmla="*/ 2616200 w 2616200"/>
            <a:gd name="connsiteY7" fmla="*/ 523874 h 1485899"/>
            <a:gd name="connsiteX8" fmla="*/ 2616200 w 2616200"/>
            <a:gd name="connsiteY8" fmla="*/ 1485899 h 1485899"/>
            <a:gd name="connsiteX9" fmla="*/ 1139825 w 2616200"/>
            <a:gd name="connsiteY9" fmla="*/ 1485899 h 1485899"/>
            <a:gd name="connsiteX10" fmla="*/ 120650 w 2616200"/>
            <a:gd name="connsiteY10" fmla="*/ 752474 h 1485899"/>
            <a:gd name="connsiteX0" fmla="*/ 120650 w 2616200"/>
            <a:gd name="connsiteY0" fmla="*/ 752474 h 1485899"/>
            <a:gd name="connsiteX1" fmla="*/ 349250 w 2616200"/>
            <a:gd name="connsiteY1" fmla="*/ 476250 h 1485899"/>
            <a:gd name="connsiteX2" fmla="*/ 463550 w 2616200"/>
            <a:gd name="connsiteY2" fmla="*/ 466725 h 1485899"/>
            <a:gd name="connsiteX3" fmla="*/ 977900 w 2616200"/>
            <a:gd name="connsiteY3" fmla="*/ 495300 h 1485899"/>
            <a:gd name="connsiteX4" fmla="*/ 1244600 w 2616200"/>
            <a:gd name="connsiteY4" fmla="*/ 361949 h 1485899"/>
            <a:gd name="connsiteX5" fmla="*/ 1635125 w 2616200"/>
            <a:gd name="connsiteY5" fmla="*/ 9525 h 1485899"/>
            <a:gd name="connsiteX6" fmla="*/ 1835150 w 2616200"/>
            <a:gd name="connsiteY6" fmla="*/ 304799 h 1485899"/>
            <a:gd name="connsiteX7" fmla="*/ 2616200 w 2616200"/>
            <a:gd name="connsiteY7" fmla="*/ 523874 h 1485899"/>
            <a:gd name="connsiteX8" fmla="*/ 2616200 w 2616200"/>
            <a:gd name="connsiteY8" fmla="*/ 1485899 h 1485899"/>
            <a:gd name="connsiteX9" fmla="*/ 1139825 w 2616200"/>
            <a:gd name="connsiteY9" fmla="*/ 1485899 h 1485899"/>
            <a:gd name="connsiteX10" fmla="*/ 120650 w 2616200"/>
            <a:gd name="connsiteY10" fmla="*/ 752474 h 1485899"/>
            <a:gd name="connsiteX0" fmla="*/ 120650 w 2616200"/>
            <a:gd name="connsiteY0" fmla="*/ 752474 h 1485899"/>
            <a:gd name="connsiteX1" fmla="*/ 349250 w 2616200"/>
            <a:gd name="connsiteY1" fmla="*/ 476250 h 1485899"/>
            <a:gd name="connsiteX2" fmla="*/ 463550 w 2616200"/>
            <a:gd name="connsiteY2" fmla="*/ 466725 h 1485899"/>
            <a:gd name="connsiteX3" fmla="*/ 977900 w 2616200"/>
            <a:gd name="connsiteY3" fmla="*/ 495300 h 1485899"/>
            <a:gd name="connsiteX4" fmla="*/ 1244600 w 2616200"/>
            <a:gd name="connsiteY4" fmla="*/ 361949 h 1485899"/>
            <a:gd name="connsiteX5" fmla="*/ 1635125 w 2616200"/>
            <a:gd name="connsiteY5" fmla="*/ 9525 h 1485899"/>
            <a:gd name="connsiteX6" fmla="*/ 1835150 w 2616200"/>
            <a:gd name="connsiteY6" fmla="*/ 304799 h 1485899"/>
            <a:gd name="connsiteX7" fmla="*/ 2616200 w 2616200"/>
            <a:gd name="connsiteY7" fmla="*/ 523874 h 1485899"/>
            <a:gd name="connsiteX8" fmla="*/ 2616200 w 2616200"/>
            <a:gd name="connsiteY8" fmla="*/ 1485899 h 1485899"/>
            <a:gd name="connsiteX9" fmla="*/ 1139825 w 2616200"/>
            <a:gd name="connsiteY9" fmla="*/ 1485899 h 1485899"/>
            <a:gd name="connsiteX10" fmla="*/ 606425 w 2616200"/>
            <a:gd name="connsiteY10" fmla="*/ 1476375 h 1485899"/>
            <a:gd name="connsiteX11" fmla="*/ 120650 w 2616200"/>
            <a:gd name="connsiteY11" fmla="*/ 752474 h 1485899"/>
            <a:gd name="connsiteX0" fmla="*/ 1019175 w 3514725"/>
            <a:gd name="connsiteY0" fmla="*/ 752474 h 1968500"/>
            <a:gd name="connsiteX1" fmla="*/ 1247775 w 3514725"/>
            <a:gd name="connsiteY1" fmla="*/ 476250 h 1968500"/>
            <a:gd name="connsiteX2" fmla="*/ 1362075 w 3514725"/>
            <a:gd name="connsiteY2" fmla="*/ 466725 h 1968500"/>
            <a:gd name="connsiteX3" fmla="*/ 1876425 w 3514725"/>
            <a:gd name="connsiteY3" fmla="*/ 495300 h 1968500"/>
            <a:gd name="connsiteX4" fmla="*/ 2143125 w 3514725"/>
            <a:gd name="connsiteY4" fmla="*/ 361949 h 1968500"/>
            <a:gd name="connsiteX5" fmla="*/ 2533650 w 3514725"/>
            <a:gd name="connsiteY5" fmla="*/ 9525 h 1968500"/>
            <a:gd name="connsiteX6" fmla="*/ 2733675 w 3514725"/>
            <a:gd name="connsiteY6" fmla="*/ 304799 h 1968500"/>
            <a:gd name="connsiteX7" fmla="*/ 3514725 w 3514725"/>
            <a:gd name="connsiteY7" fmla="*/ 523874 h 1968500"/>
            <a:gd name="connsiteX8" fmla="*/ 3514725 w 3514725"/>
            <a:gd name="connsiteY8" fmla="*/ 1485899 h 1968500"/>
            <a:gd name="connsiteX9" fmla="*/ 2038350 w 3514725"/>
            <a:gd name="connsiteY9" fmla="*/ 1485899 h 1968500"/>
            <a:gd name="connsiteX10" fmla="*/ 1504950 w 3514725"/>
            <a:gd name="connsiteY10" fmla="*/ 1476375 h 1968500"/>
            <a:gd name="connsiteX11" fmla="*/ 1019175 w 3514725"/>
            <a:gd name="connsiteY11" fmla="*/ 752474 h 1968500"/>
            <a:gd name="connsiteX0" fmla="*/ 1019175 w 3514725"/>
            <a:gd name="connsiteY0" fmla="*/ 752474 h 1968500"/>
            <a:gd name="connsiteX1" fmla="*/ 1162051 w 3514725"/>
            <a:gd name="connsiteY1" fmla="*/ 628649 h 1968500"/>
            <a:gd name="connsiteX2" fmla="*/ 1247775 w 3514725"/>
            <a:gd name="connsiteY2" fmla="*/ 476250 h 1968500"/>
            <a:gd name="connsiteX3" fmla="*/ 1362075 w 3514725"/>
            <a:gd name="connsiteY3" fmla="*/ 466725 h 1968500"/>
            <a:gd name="connsiteX4" fmla="*/ 1876425 w 3514725"/>
            <a:gd name="connsiteY4" fmla="*/ 495300 h 1968500"/>
            <a:gd name="connsiteX5" fmla="*/ 2143125 w 3514725"/>
            <a:gd name="connsiteY5" fmla="*/ 361949 h 1968500"/>
            <a:gd name="connsiteX6" fmla="*/ 2533650 w 3514725"/>
            <a:gd name="connsiteY6" fmla="*/ 9525 h 1968500"/>
            <a:gd name="connsiteX7" fmla="*/ 2733675 w 3514725"/>
            <a:gd name="connsiteY7" fmla="*/ 304799 h 1968500"/>
            <a:gd name="connsiteX8" fmla="*/ 3514725 w 3514725"/>
            <a:gd name="connsiteY8" fmla="*/ 523874 h 1968500"/>
            <a:gd name="connsiteX9" fmla="*/ 3514725 w 3514725"/>
            <a:gd name="connsiteY9" fmla="*/ 1485899 h 1968500"/>
            <a:gd name="connsiteX10" fmla="*/ 2038350 w 3514725"/>
            <a:gd name="connsiteY10" fmla="*/ 1485899 h 1968500"/>
            <a:gd name="connsiteX11" fmla="*/ 1504950 w 3514725"/>
            <a:gd name="connsiteY11" fmla="*/ 1476375 h 1968500"/>
            <a:gd name="connsiteX12" fmla="*/ 1019175 w 3514725"/>
            <a:gd name="connsiteY12" fmla="*/ 752474 h 1968500"/>
            <a:gd name="connsiteX0" fmla="*/ 1019175 w 3514725"/>
            <a:gd name="connsiteY0" fmla="*/ 752474 h 1968500"/>
            <a:gd name="connsiteX1" fmla="*/ 1162051 w 3514725"/>
            <a:gd name="connsiteY1" fmla="*/ 628649 h 1968500"/>
            <a:gd name="connsiteX2" fmla="*/ 1247775 w 3514725"/>
            <a:gd name="connsiteY2" fmla="*/ 476250 h 1968500"/>
            <a:gd name="connsiteX3" fmla="*/ 1362075 w 3514725"/>
            <a:gd name="connsiteY3" fmla="*/ 466725 h 1968500"/>
            <a:gd name="connsiteX4" fmla="*/ 1876425 w 3514725"/>
            <a:gd name="connsiteY4" fmla="*/ 495300 h 1968500"/>
            <a:gd name="connsiteX5" fmla="*/ 2143125 w 3514725"/>
            <a:gd name="connsiteY5" fmla="*/ 361949 h 1968500"/>
            <a:gd name="connsiteX6" fmla="*/ 2533650 w 3514725"/>
            <a:gd name="connsiteY6" fmla="*/ 9525 h 1968500"/>
            <a:gd name="connsiteX7" fmla="*/ 2733675 w 3514725"/>
            <a:gd name="connsiteY7" fmla="*/ 304799 h 1968500"/>
            <a:gd name="connsiteX8" fmla="*/ 3514725 w 3514725"/>
            <a:gd name="connsiteY8" fmla="*/ 523874 h 1968500"/>
            <a:gd name="connsiteX9" fmla="*/ 2714625 w 3514725"/>
            <a:gd name="connsiteY9" fmla="*/ 1057274 h 1968500"/>
            <a:gd name="connsiteX10" fmla="*/ 2038350 w 3514725"/>
            <a:gd name="connsiteY10" fmla="*/ 1485899 h 1968500"/>
            <a:gd name="connsiteX11" fmla="*/ 1504950 w 3514725"/>
            <a:gd name="connsiteY11" fmla="*/ 1476375 h 1968500"/>
            <a:gd name="connsiteX12" fmla="*/ 1019175 w 3514725"/>
            <a:gd name="connsiteY12" fmla="*/ 752474 h 1968500"/>
            <a:gd name="connsiteX0" fmla="*/ 1019175 w 3514725"/>
            <a:gd name="connsiteY0" fmla="*/ 752474 h 1968500"/>
            <a:gd name="connsiteX1" fmla="*/ 1162051 w 3514725"/>
            <a:gd name="connsiteY1" fmla="*/ 628649 h 1968500"/>
            <a:gd name="connsiteX2" fmla="*/ 1247775 w 3514725"/>
            <a:gd name="connsiteY2" fmla="*/ 476250 h 1968500"/>
            <a:gd name="connsiteX3" fmla="*/ 1362075 w 3514725"/>
            <a:gd name="connsiteY3" fmla="*/ 466725 h 1968500"/>
            <a:gd name="connsiteX4" fmla="*/ 1609725 w 3514725"/>
            <a:gd name="connsiteY4" fmla="*/ 200025 h 1968500"/>
            <a:gd name="connsiteX5" fmla="*/ 2143125 w 3514725"/>
            <a:gd name="connsiteY5" fmla="*/ 361949 h 1968500"/>
            <a:gd name="connsiteX6" fmla="*/ 2533650 w 3514725"/>
            <a:gd name="connsiteY6" fmla="*/ 9525 h 1968500"/>
            <a:gd name="connsiteX7" fmla="*/ 2733675 w 3514725"/>
            <a:gd name="connsiteY7" fmla="*/ 304799 h 1968500"/>
            <a:gd name="connsiteX8" fmla="*/ 3514725 w 3514725"/>
            <a:gd name="connsiteY8" fmla="*/ 523874 h 1968500"/>
            <a:gd name="connsiteX9" fmla="*/ 2714625 w 3514725"/>
            <a:gd name="connsiteY9" fmla="*/ 1057274 h 1968500"/>
            <a:gd name="connsiteX10" fmla="*/ 2038350 w 3514725"/>
            <a:gd name="connsiteY10" fmla="*/ 1485899 h 1968500"/>
            <a:gd name="connsiteX11" fmla="*/ 1504950 w 3514725"/>
            <a:gd name="connsiteY11" fmla="*/ 1476375 h 1968500"/>
            <a:gd name="connsiteX12" fmla="*/ 1019175 w 3514725"/>
            <a:gd name="connsiteY12" fmla="*/ 752474 h 1968500"/>
            <a:gd name="connsiteX0" fmla="*/ 1019175 w 3514725"/>
            <a:gd name="connsiteY0" fmla="*/ 1346199 h 2562225"/>
            <a:gd name="connsiteX1" fmla="*/ 1162051 w 3514725"/>
            <a:gd name="connsiteY1" fmla="*/ 1222374 h 2562225"/>
            <a:gd name="connsiteX2" fmla="*/ 1247775 w 3514725"/>
            <a:gd name="connsiteY2" fmla="*/ 1069975 h 2562225"/>
            <a:gd name="connsiteX3" fmla="*/ 1362075 w 3514725"/>
            <a:gd name="connsiteY3" fmla="*/ 1060450 h 2562225"/>
            <a:gd name="connsiteX4" fmla="*/ 1609725 w 3514725"/>
            <a:gd name="connsiteY4" fmla="*/ 793750 h 2562225"/>
            <a:gd name="connsiteX5" fmla="*/ 2143125 w 3514725"/>
            <a:gd name="connsiteY5" fmla="*/ 955674 h 2562225"/>
            <a:gd name="connsiteX6" fmla="*/ 2533650 w 3514725"/>
            <a:gd name="connsiteY6" fmla="*/ 603250 h 2562225"/>
            <a:gd name="connsiteX7" fmla="*/ 2733675 w 3514725"/>
            <a:gd name="connsiteY7" fmla="*/ 898524 h 2562225"/>
            <a:gd name="connsiteX8" fmla="*/ 3514725 w 3514725"/>
            <a:gd name="connsiteY8" fmla="*/ 1117599 h 2562225"/>
            <a:gd name="connsiteX9" fmla="*/ 2714625 w 3514725"/>
            <a:gd name="connsiteY9" fmla="*/ 1650999 h 2562225"/>
            <a:gd name="connsiteX10" fmla="*/ 2038350 w 3514725"/>
            <a:gd name="connsiteY10" fmla="*/ 2079624 h 2562225"/>
            <a:gd name="connsiteX11" fmla="*/ 1504950 w 3514725"/>
            <a:gd name="connsiteY11" fmla="*/ 2070100 h 2562225"/>
            <a:gd name="connsiteX12" fmla="*/ 1019175 w 3514725"/>
            <a:gd name="connsiteY12" fmla="*/ 1346199 h 2562225"/>
            <a:gd name="connsiteX0" fmla="*/ 1019175 w 3514725"/>
            <a:gd name="connsiteY0" fmla="*/ 1346199 h 2562225"/>
            <a:gd name="connsiteX1" fmla="*/ 1162051 w 3514725"/>
            <a:gd name="connsiteY1" fmla="*/ 1222374 h 2562225"/>
            <a:gd name="connsiteX2" fmla="*/ 1247775 w 3514725"/>
            <a:gd name="connsiteY2" fmla="*/ 1069975 h 2562225"/>
            <a:gd name="connsiteX3" fmla="*/ 1362075 w 3514725"/>
            <a:gd name="connsiteY3" fmla="*/ 1060450 h 2562225"/>
            <a:gd name="connsiteX4" fmla="*/ 1609725 w 3514725"/>
            <a:gd name="connsiteY4" fmla="*/ 793750 h 2562225"/>
            <a:gd name="connsiteX5" fmla="*/ 2143125 w 3514725"/>
            <a:gd name="connsiteY5" fmla="*/ 955674 h 2562225"/>
            <a:gd name="connsiteX6" fmla="*/ 2533650 w 3514725"/>
            <a:gd name="connsiteY6" fmla="*/ 603250 h 2562225"/>
            <a:gd name="connsiteX7" fmla="*/ 2733675 w 3514725"/>
            <a:gd name="connsiteY7" fmla="*/ 898524 h 2562225"/>
            <a:gd name="connsiteX8" fmla="*/ 3514725 w 3514725"/>
            <a:gd name="connsiteY8" fmla="*/ 1117599 h 2562225"/>
            <a:gd name="connsiteX9" fmla="*/ 2714625 w 3514725"/>
            <a:gd name="connsiteY9" fmla="*/ 1650999 h 2562225"/>
            <a:gd name="connsiteX10" fmla="*/ 2038350 w 3514725"/>
            <a:gd name="connsiteY10" fmla="*/ 2079624 h 2562225"/>
            <a:gd name="connsiteX11" fmla="*/ 1971676 w 3514725"/>
            <a:gd name="connsiteY11" fmla="*/ 2355850 h 2562225"/>
            <a:gd name="connsiteX12" fmla="*/ 1504950 w 3514725"/>
            <a:gd name="connsiteY12" fmla="*/ 2070100 h 2562225"/>
            <a:gd name="connsiteX13" fmla="*/ 1019175 w 3514725"/>
            <a:gd name="connsiteY13" fmla="*/ 1346199 h 2562225"/>
            <a:gd name="connsiteX0" fmla="*/ 1019175 w 3514725"/>
            <a:gd name="connsiteY0" fmla="*/ 1346199 h 2562225"/>
            <a:gd name="connsiteX1" fmla="*/ 1162051 w 3514725"/>
            <a:gd name="connsiteY1" fmla="*/ 1222374 h 2562225"/>
            <a:gd name="connsiteX2" fmla="*/ 1247775 w 3514725"/>
            <a:gd name="connsiteY2" fmla="*/ 1069975 h 2562225"/>
            <a:gd name="connsiteX3" fmla="*/ 1362075 w 3514725"/>
            <a:gd name="connsiteY3" fmla="*/ 1060450 h 2562225"/>
            <a:gd name="connsiteX4" fmla="*/ 1609725 w 3514725"/>
            <a:gd name="connsiteY4" fmla="*/ 793750 h 2562225"/>
            <a:gd name="connsiteX5" fmla="*/ 2143125 w 3514725"/>
            <a:gd name="connsiteY5" fmla="*/ 955674 h 2562225"/>
            <a:gd name="connsiteX6" fmla="*/ 2533650 w 3514725"/>
            <a:gd name="connsiteY6" fmla="*/ 603250 h 2562225"/>
            <a:gd name="connsiteX7" fmla="*/ 2733675 w 3514725"/>
            <a:gd name="connsiteY7" fmla="*/ 898524 h 2562225"/>
            <a:gd name="connsiteX8" fmla="*/ 3514725 w 3514725"/>
            <a:gd name="connsiteY8" fmla="*/ 1117599 h 2562225"/>
            <a:gd name="connsiteX9" fmla="*/ 2714625 w 3514725"/>
            <a:gd name="connsiteY9" fmla="*/ 1650999 h 2562225"/>
            <a:gd name="connsiteX10" fmla="*/ 2038350 w 3514725"/>
            <a:gd name="connsiteY10" fmla="*/ 2079624 h 2562225"/>
            <a:gd name="connsiteX11" fmla="*/ 1971676 w 3514725"/>
            <a:gd name="connsiteY11" fmla="*/ 2355850 h 2562225"/>
            <a:gd name="connsiteX12" fmla="*/ 1504950 w 3514725"/>
            <a:gd name="connsiteY12" fmla="*/ 2070100 h 2562225"/>
            <a:gd name="connsiteX13" fmla="*/ 1019175 w 3514725"/>
            <a:gd name="connsiteY13" fmla="*/ 1346199 h 2562225"/>
            <a:gd name="connsiteX0" fmla="*/ 1019175 w 3514725"/>
            <a:gd name="connsiteY0" fmla="*/ 1346199 h 2562225"/>
            <a:gd name="connsiteX1" fmla="*/ 1162051 w 3514725"/>
            <a:gd name="connsiteY1" fmla="*/ 1222374 h 2562225"/>
            <a:gd name="connsiteX2" fmla="*/ 1247775 w 3514725"/>
            <a:gd name="connsiteY2" fmla="*/ 1069975 h 2562225"/>
            <a:gd name="connsiteX3" fmla="*/ 1362075 w 3514725"/>
            <a:gd name="connsiteY3" fmla="*/ 1060450 h 2562225"/>
            <a:gd name="connsiteX4" fmla="*/ 1609725 w 3514725"/>
            <a:gd name="connsiteY4" fmla="*/ 793750 h 2562225"/>
            <a:gd name="connsiteX5" fmla="*/ 2143125 w 3514725"/>
            <a:gd name="connsiteY5" fmla="*/ 955674 h 2562225"/>
            <a:gd name="connsiteX6" fmla="*/ 2533650 w 3514725"/>
            <a:gd name="connsiteY6" fmla="*/ 603250 h 2562225"/>
            <a:gd name="connsiteX7" fmla="*/ 2733675 w 3514725"/>
            <a:gd name="connsiteY7" fmla="*/ 898524 h 2562225"/>
            <a:gd name="connsiteX8" fmla="*/ 3514725 w 3514725"/>
            <a:gd name="connsiteY8" fmla="*/ 1117599 h 2562225"/>
            <a:gd name="connsiteX9" fmla="*/ 2714625 w 3514725"/>
            <a:gd name="connsiteY9" fmla="*/ 1650999 h 2562225"/>
            <a:gd name="connsiteX10" fmla="*/ 2038350 w 3514725"/>
            <a:gd name="connsiteY10" fmla="*/ 2079624 h 2562225"/>
            <a:gd name="connsiteX11" fmla="*/ 1971676 w 3514725"/>
            <a:gd name="connsiteY11" fmla="*/ 2355850 h 2562225"/>
            <a:gd name="connsiteX12" fmla="*/ 1504950 w 3514725"/>
            <a:gd name="connsiteY12" fmla="*/ 2070100 h 2562225"/>
            <a:gd name="connsiteX13" fmla="*/ 1019175 w 3514725"/>
            <a:gd name="connsiteY13" fmla="*/ 1346199 h 2562225"/>
            <a:gd name="connsiteX0" fmla="*/ 1085850 w 3581400"/>
            <a:gd name="connsiteY0" fmla="*/ 1346199 h 2819400"/>
            <a:gd name="connsiteX1" fmla="*/ 1228726 w 3581400"/>
            <a:gd name="connsiteY1" fmla="*/ 1222374 h 2819400"/>
            <a:gd name="connsiteX2" fmla="*/ 1314450 w 3581400"/>
            <a:gd name="connsiteY2" fmla="*/ 1069975 h 2819400"/>
            <a:gd name="connsiteX3" fmla="*/ 1428750 w 3581400"/>
            <a:gd name="connsiteY3" fmla="*/ 1060450 h 2819400"/>
            <a:gd name="connsiteX4" fmla="*/ 1676400 w 3581400"/>
            <a:gd name="connsiteY4" fmla="*/ 793750 h 2819400"/>
            <a:gd name="connsiteX5" fmla="*/ 2209800 w 3581400"/>
            <a:gd name="connsiteY5" fmla="*/ 955674 h 2819400"/>
            <a:gd name="connsiteX6" fmla="*/ 2600325 w 3581400"/>
            <a:gd name="connsiteY6" fmla="*/ 603250 h 2819400"/>
            <a:gd name="connsiteX7" fmla="*/ 2800350 w 3581400"/>
            <a:gd name="connsiteY7" fmla="*/ 898524 h 2819400"/>
            <a:gd name="connsiteX8" fmla="*/ 3581400 w 3581400"/>
            <a:gd name="connsiteY8" fmla="*/ 1117599 h 2819400"/>
            <a:gd name="connsiteX9" fmla="*/ 2781300 w 3581400"/>
            <a:gd name="connsiteY9" fmla="*/ 1650999 h 2819400"/>
            <a:gd name="connsiteX10" fmla="*/ 2105025 w 3581400"/>
            <a:gd name="connsiteY10" fmla="*/ 2079624 h 2819400"/>
            <a:gd name="connsiteX11" fmla="*/ 2038351 w 3581400"/>
            <a:gd name="connsiteY11" fmla="*/ 2355850 h 2819400"/>
            <a:gd name="connsiteX12" fmla="*/ 1504950 w 3581400"/>
            <a:gd name="connsiteY12" fmla="*/ 2327275 h 2819400"/>
            <a:gd name="connsiteX13" fmla="*/ 1085850 w 3581400"/>
            <a:gd name="connsiteY13" fmla="*/ 1346199 h 2819400"/>
            <a:gd name="connsiteX0" fmla="*/ 1085850 w 3581400"/>
            <a:gd name="connsiteY0" fmla="*/ 1346199 h 2819400"/>
            <a:gd name="connsiteX1" fmla="*/ 1228726 w 3581400"/>
            <a:gd name="connsiteY1" fmla="*/ 1222374 h 2819400"/>
            <a:gd name="connsiteX2" fmla="*/ 1314450 w 3581400"/>
            <a:gd name="connsiteY2" fmla="*/ 1069975 h 2819400"/>
            <a:gd name="connsiteX3" fmla="*/ 1428750 w 3581400"/>
            <a:gd name="connsiteY3" fmla="*/ 1060450 h 2819400"/>
            <a:gd name="connsiteX4" fmla="*/ 1676400 w 3581400"/>
            <a:gd name="connsiteY4" fmla="*/ 793750 h 2819400"/>
            <a:gd name="connsiteX5" fmla="*/ 2209800 w 3581400"/>
            <a:gd name="connsiteY5" fmla="*/ 955674 h 2819400"/>
            <a:gd name="connsiteX6" fmla="*/ 2600325 w 3581400"/>
            <a:gd name="connsiteY6" fmla="*/ 603250 h 2819400"/>
            <a:gd name="connsiteX7" fmla="*/ 2800350 w 3581400"/>
            <a:gd name="connsiteY7" fmla="*/ 898524 h 2819400"/>
            <a:gd name="connsiteX8" fmla="*/ 3581400 w 3581400"/>
            <a:gd name="connsiteY8" fmla="*/ 1117599 h 2819400"/>
            <a:gd name="connsiteX9" fmla="*/ 2781300 w 3581400"/>
            <a:gd name="connsiteY9" fmla="*/ 1650999 h 2819400"/>
            <a:gd name="connsiteX10" fmla="*/ 2105025 w 3581400"/>
            <a:gd name="connsiteY10" fmla="*/ 2079624 h 2819400"/>
            <a:gd name="connsiteX11" fmla="*/ 2638426 w 3581400"/>
            <a:gd name="connsiteY11" fmla="*/ 2460624 h 2819400"/>
            <a:gd name="connsiteX12" fmla="*/ 2038351 w 3581400"/>
            <a:gd name="connsiteY12" fmla="*/ 2355850 h 2819400"/>
            <a:gd name="connsiteX13" fmla="*/ 1504950 w 3581400"/>
            <a:gd name="connsiteY13" fmla="*/ 2327275 h 2819400"/>
            <a:gd name="connsiteX14" fmla="*/ 1085850 w 3581400"/>
            <a:gd name="connsiteY14" fmla="*/ 1346199 h 2819400"/>
            <a:gd name="connsiteX0" fmla="*/ 1085850 w 3581400"/>
            <a:gd name="connsiteY0" fmla="*/ 1346199 h 2819400"/>
            <a:gd name="connsiteX1" fmla="*/ 1228726 w 3581400"/>
            <a:gd name="connsiteY1" fmla="*/ 1222374 h 2819400"/>
            <a:gd name="connsiteX2" fmla="*/ 1314450 w 3581400"/>
            <a:gd name="connsiteY2" fmla="*/ 1069975 h 2819400"/>
            <a:gd name="connsiteX3" fmla="*/ 1428750 w 3581400"/>
            <a:gd name="connsiteY3" fmla="*/ 1060450 h 2819400"/>
            <a:gd name="connsiteX4" fmla="*/ 1676400 w 3581400"/>
            <a:gd name="connsiteY4" fmla="*/ 793750 h 2819400"/>
            <a:gd name="connsiteX5" fmla="*/ 2209800 w 3581400"/>
            <a:gd name="connsiteY5" fmla="*/ 955674 h 2819400"/>
            <a:gd name="connsiteX6" fmla="*/ 2600325 w 3581400"/>
            <a:gd name="connsiteY6" fmla="*/ 603250 h 2819400"/>
            <a:gd name="connsiteX7" fmla="*/ 2800350 w 3581400"/>
            <a:gd name="connsiteY7" fmla="*/ 898524 h 2819400"/>
            <a:gd name="connsiteX8" fmla="*/ 3581400 w 3581400"/>
            <a:gd name="connsiteY8" fmla="*/ 1117599 h 2819400"/>
            <a:gd name="connsiteX9" fmla="*/ 2781300 w 3581400"/>
            <a:gd name="connsiteY9" fmla="*/ 1650999 h 2819400"/>
            <a:gd name="connsiteX10" fmla="*/ 2105025 w 3581400"/>
            <a:gd name="connsiteY10" fmla="*/ 2079624 h 2819400"/>
            <a:gd name="connsiteX11" fmla="*/ 2667001 w 3581400"/>
            <a:gd name="connsiteY11" fmla="*/ 2089149 h 2819400"/>
            <a:gd name="connsiteX12" fmla="*/ 2638426 w 3581400"/>
            <a:gd name="connsiteY12" fmla="*/ 2460624 h 2819400"/>
            <a:gd name="connsiteX13" fmla="*/ 2038351 w 3581400"/>
            <a:gd name="connsiteY13" fmla="*/ 2355850 h 2819400"/>
            <a:gd name="connsiteX14" fmla="*/ 1504950 w 3581400"/>
            <a:gd name="connsiteY14" fmla="*/ 2327275 h 2819400"/>
            <a:gd name="connsiteX15" fmla="*/ 1085850 w 3581400"/>
            <a:gd name="connsiteY15" fmla="*/ 1346199 h 2819400"/>
            <a:gd name="connsiteX0" fmla="*/ 1085850 w 3581400"/>
            <a:gd name="connsiteY0" fmla="*/ 1346199 h 2819400"/>
            <a:gd name="connsiteX1" fmla="*/ 1228726 w 3581400"/>
            <a:gd name="connsiteY1" fmla="*/ 1222374 h 2819400"/>
            <a:gd name="connsiteX2" fmla="*/ 1314450 w 3581400"/>
            <a:gd name="connsiteY2" fmla="*/ 1069975 h 2819400"/>
            <a:gd name="connsiteX3" fmla="*/ 1428750 w 3581400"/>
            <a:gd name="connsiteY3" fmla="*/ 1060450 h 2819400"/>
            <a:gd name="connsiteX4" fmla="*/ 1676400 w 3581400"/>
            <a:gd name="connsiteY4" fmla="*/ 793750 h 2819400"/>
            <a:gd name="connsiteX5" fmla="*/ 2209800 w 3581400"/>
            <a:gd name="connsiteY5" fmla="*/ 955674 h 2819400"/>
            <a:gd name="connsiteX6" fmla="*/ 2600325 w 3581400"/>
            <a:gd name="connsiteY6" fmla="*/ 603250 h 2819400"/>
            <a:gd name="connsiteX7" fmla="*/ 2800350 w 3581400"/>
            <a:gd name="connsiteY7" fmla="*/ 898524 h 2819400"/>
            <a:gd name="connsiteX8" fmla="*/ 3581400 w 3581400"/>
            <a:gd name="connsiteY8" fmla="*/ 1117599 h 2819400"/>
            <a:gd name="connsiteX9" fmla="*/ 2781300 w 3581400"/>
            <a:gd name="connsiteY9" fmla="*/ 1650999 h 2819400"/>
            <a:gd name="connsiteX10" fmla="*/ 2105025 w 3581400"/>
            <a:gd name="connsiteY10" fmla="*/ 2079624 h 2819400"/>
            <a:gd name="connsiteX11" fmla="*/ 2209801 w 3581400"/>
            <a:gd name="connsiteY11" fmla="*/ 2051049 h 2819400"/>
            <a:gd name="connsiteX12" fmla="*/ 2667001 w 3581400"/>
            <a:gd name="connsiteY12" fmla="*/ 2089149 h 2819400"/>
            <a:gd name="connsiteX13" fmla="*/ 2638426 w 3581400"/>
            <a:gd name="connsiteY13" fmla="*/ 2460624 h 2819400"/>
            <a:gd name="connsiteX14" fmla="*/ 2038351 w 3581400"/>
            <a:gd name="connsiteY14" fmla="*/ 2355850 h 2819400"/>
            <a:gd name="connsiteX15" fmla="*/ 1504950 w 3581400"/>
            <a:gd name="connsiteY15" fmla="*/ 2327275 h 2819400"/>
            <a:gd name="connsiteX16" fmla="*/ 1085850 w 3581400"/>
            <a:gd name="connsiteY16" fmla="*/ 1346199 h 28194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3581400" h="2819400">
              <a:moveTo>
                <a:pt x="1085850" y="1346199"/>
              </a:moveTo>
              <a:cubicBezTo>
                <a:pt x="1001713" y="1168399"/>
                <a:pt x="1190626" y="1268411"/>
                <a:pt x="1228726" y="1222374"/>
              </a:cubicBezTo>
              <a:cubicBezTo>
                <a:pt x="1266826" y="1176337"/>
                <a:pt x="1254125" y="1060450"/>
                <a:pt x="1314450" y="1069975"/>
              </a:cubicBezTo>
              <a:cubicBezTo>
                <a:pt x="1385887" y="1046163"/>
                <a:pt x="1368425" y="1106487"/>
                <a:pt x="1428750" y="1060450"/>
              </a:cubicBezTo>
              <a:cubicBezTo>
                <a:pt x="1489075" y="1014413"/>
                <a:pt x="1560513" y="835025"/>
                <a:pt x="1676400" y="793750"/>
              </a:cubicBezTo>
              <a:cubicBezTo>
                <a:pt x="2159000" y="0"/>
                <a:pt x="2032000" y="901699"/>
                <a:pt x="2209800" y="955674"/>
              </a:cubicBezTo>
              <a:cubicBezTo>
                <a:pt x="2422525" y="849312"/>
                <a:pt x="2501900" y="612775"/>
                <a:pt x="2600325" y="603250"/>
              </a:cubicBezTo>
              <a:cubicBezTo>
                <a:pt x="2698750" y="593725"/>
                <a:pt x="2597150" y="830262"/>
                <a:pt x="2800350" y="898524"/>
              </a:cubicBezTo>
              <a:lnTo>
                <a:pt x="3581400" y="1117599"/>
              </a:lnTo>
              <a:lnTo>
                <a:pt x="2781300" y="1650999"/>
              </a:lnTo>
              <a:lnTo>
                <a:pt x="2105025" y="2079624"/>
              </a:lnTo>
              <a:cubicBezTo>
                <a:pt x="2008188" y="2154236"/>
                <a:pt x="2116138" y="2049462"/>
                <a:pt x="2209801" y="2051049"/>
              </a:cubicBezTo>
              <a:cubicBezTo>
                <a:pt x="2303464" y="2052637"/>
                <a:pt x="2595564" y="2020887"/>
                <a:pt x="2667001" y="2089149"/>
              </a:cubicBezTo>
              <a:cubicBezTo>
                <a:pt x="2738439" y="2157412"/>
                <a:pt x="2743201" y="2416174"/>
                <a:pt x="2638426" y="2460624"/>
              </a:cubicBezTo>
              <a:cubicBezTo>
                <a:pt x="2533651" y="2505074"/>
                <a:pt x="2141539" y="2343150"/>
                <a:pt x="2038351" y="2355850"/>
              </a:cubicBezTo>
              <a:cubicBezTo>
                <a:pt x="1797051" y="2336800"/>
                <a:pt x="1660525" y="2422525"/>
                <a:pt x="1504950" y="2327275"/>
              </a:cubicBezTo>
              <a:cubicBezTo>
                <a:pt x="0" y="2819400"/>
                <a:pt x="1247775" y="1587499"/>
                <a:pt x="1085850" y="1346199"/>
              </a:cubicBezTo>
              <a:close/>
            </a:path>
          </a:pathLst>
        </a:custGeom>
        <a:solidFill>
          <a:srgbClr val="D7E4BC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B</a:t>
          </a:r>
        </a:p>
      </xdr:txBody>
    </xdr:sp>
    <xdr:clientData/>
  </xdr:twoCellAnchor>
  <xdr:twoCellAnchor>
    <xdr:from>
      <xdr:col>30</xdr:col>
      <xdr:colOff>897516</xdr:colOff>
      <xdr:row>18</xdr:row>
      <xdr:rowOff>173407</xdr:rowOff>
    </xdr:from>
    <xdr:to>
      <xdr:col>32</xdr:col>
      <xdr:colOff>1772409</xdr:colOff>
      <xdr:row>29</xdr:row>
      <xdr:rowOff>121871</xdr:rowOff>
    </xdr:to>
    <xdr:sp macro="" textlink="">
      <xdr:nvSpPr>
        <xdr:cNvPr id="261" name="A_Area"/>
        <xdr:cNvSpPr/>
      </xdr:nvSpPr>
      <xdr:spPr>
        <a:xfrm>
          <a:off x="38782435" y="3491794"/>
          <a:ext cx="3332958" cy="1976367"/>
        </a:xfrm>
        <a:custGeom>
          <a:avLst/>
          <a:gdLst>
            <a:gd name="connsiteX0" fmla="*/ 0 w 1724025"/>
            <a:gd name="connsiteY0" fmla="*/ 0 h 952500"/>
            <a:gd name="connsiteX1" fmla="*/ 1724025 w 1724025"/>
            <a:gd name="connsiteY1" fmla="*/ 0 h 952500"/>
            <a:gd name="connsiteX2" fmla="*/ 1724025 w 1724025"/>
            <a:gd name="connsiteY2" fmla="*/ 952500 h 952500"/>
            <a:gd name="connsiteX3" fmla="*/ 0 w 1724025"/>
            <a:gd name="connsiteY3" fmla="*/ 952500 h 952500"/>
            <a:gd name="connsiteX4" fmla="*/ 0 w 1724025"/>
            <a:gd name="connsiteY4" fmla="*/ 0 h 952500"/>
            <a:gd name="connsiteX0" fmla="*/ 0 w 1724025"/>
            <a:gd name="connsiteY0" fmla="*/ 0 h 952500"/>
            <a:gd name="connsiteX1" fmla="*/ 1724025 w 1724025"/>
            <a:gd name="connsiteY1" fmla="*/ 0 h 952500"/>
            <a:gd name="connsiteX2" fmla="*/ 1724025 w 1724025"/>
            <a:gd name="connsiteY2" fmla="*/ 952500 h 952500"/>
            <a:gd name="connsiteX3" fmla="*/ 819150 w 1724025"/>
            <a:gd name="connsiteY3" fmla="*/ 409575 h 952500"/>
            <a:gd name="connsiteX4" fmla="*/ 0 w 1724025"/>
            <a:gd name="connsiteY4" fmla="*/ 0 h 952500"/>
            <a:gd name="connsiteX0" fmla="*/ 0 w 1895475"/>
            <a:gd name="connsiteY0" fmla="*/ 266700 h 1219200"/>
            <a:gd name="connsiteX1" fmla="*/ 1724025 w 1895475"/>
            <a:gd name="connsiteY1" fmla="*/ 266700 h 1219200"/>
            <a:gd name="connsiteX2" fmla="*/ 1895475 w 1895475"/>
            <a:gd name="connsiteY2" fmla="*/ 0 h 1219200"/>
            <a:gd name="connsiteX3" fmla="*/ 1724025 w 1895475"/>
            <a:gd name="connsiteY3" fmla="*/ 1219200 h 1219200"/>
            <a:gd name="connsiteX4" fmla="*/ 819150 w 1895475"/>
            <a:gd name="connsiteY4" fmla="*/ 676275 h 1219200"/>
            <a:gd name="connsiteX5" fmla="*/ 0 w 1895475"/>
            <a:gd name="connsiteY5" fmla="*/ 266700 h 1219200"/>
            <a:gd name="connsiteX0" fmla="*/ 0 w 1895475"/>
            <a:gd name="connsiteY0" fmla="*/ 266700 h 1219200"/>
            <a:gd name="connsiteX1" fmla="*/ 1724025 w 1895475"/>
            <a:gd name="connsiteY1" fmla="*/ 266700 h 1219200"/>
            <a:gd name="connsiteX2" fmla="*/ 1590675 w 1895475"/>
            <a:gd name="connsiteY2" fmla="*/ 95250 h 1219200"/>
            <a:gd name="connsiteX3" fmla="*/ 1895475 w 1895475"/>
            <a:gd name="connsiteY3" fmla="*/ 0 h 1219200"/>
            <a:gd name="connsiteX4" fmla="*/ 1724025 w 1895475"/>
            <a:gd name="connsiteY4" fmla="*/ 1219200 h 1219200"/>
            <a:gd name="connsiteX5" fmla="*/ 819150 w 1895475"/>
            <a:gd name="connsiteY5" fmla="*/ 676275 h 1219200"/>
            <a:gd name="connsiteX6" fmla="*/ 0 w 1895475"/>
            <a:gd name="connsiteY6" fmla="*/ 266700 h 1219200"/>
            <a:gd name="connsiteX0" fmla="*/ 0 w 3152775"/>
            <a:gd name="connsiteY0" fmla="*/ 266700 h 1219200"/>
            <a:gd name="connsiteX1" fmla="*/ 1724025 w 3152775"/>
            <a:gd name="connsiteY1" fmla="*/ 266700 h 1219200"/>
            <a:gd name="connsiteX2" fmla="*/ 1590675 w 3152775"/>
            <a:gd name="connsiteY2" fmla="*/ 95250 h 1219200"/>
            <a:gd name="connsiteX3" fmla="*/ 1895475 w 3152775"/>
            <a:gd name="connsiteY3" fmla="*/ 0 h 1219200"/>
            <a:gd name="connsiteX4" fmla="*/ 3152775 w 3152775"/>
            <a:gd name="connsiteY4" fmla="*/ 723900 h 1219200"/>
            <a:gd name="connsiteX5" fmla="*/ 1724025 w 3152775"/>
            <a:gd name="connsiteY5" fmla="*/ 1219200 h 1219200"/>
            <a:gd name="connsiteX6" fmla="*/ 819150 w 3152775"/>
            <a:gd name="connsiteY6" fmla="*/ 676275 h 1219200"/>
            <a:gd name="connsiteX7" fmla="*/ 0 w 3152775"/>
            <a:gd name="connsiteY7" fmla="*/ 266700 h 1219200"/>
            <a:gd name="connsiteX0" fmla="*/ 0 w 3152775"/>
            <a:gd name="connsiteY0" fmla="*/ 266700 h 1228725"/>
            <a:gd name="connsiteX1" fmla="*/ 1724025 w 3152775"/>
            <a:gd name="connsiteY1" fmla="*/ 266700 h 1228725"/>
            <a:gd name="connsiteX2" fmla="*/ 1590675 w 3152775"/>
            <a:gd name="connsiteY2" fmla="*/ 95250 h 1228725"/>
            <a:gd name="connsiteX3" fmla="*/ 1895475 w 3152775"/>
            <a:gd name="connsiteY3" fmla="*/ 0 h 1228725"/>
            <a:gd name="connsiteX4" fmla="*/ 3152775 w 3152775"/>
            <a:gd name="connsiteY4" fmla="*/ 723900 h 1228725"/>
            <a:gd name="connsiteX5" fmla="*/ 2486025 w 3152775"/>
            <a:gd name="connsiteY5" fmla="*/ 1228725 h 1228725"/>
            <a:gd name="connsiteX6" fmla="*/ 1724025 w 3152775"/>
            <a:gd name="connsiteY6" fmla="*/ 1219200 h 1228725"/>
            <a:gd name="connsiteX7" fmla="*/ 819150 w 3152775"/>
            <a:gd name="connsiteY7" fmla="*/ 676275 h 1228725"/>
            <a:gd name="connsiteX8" fmla="*/ 0 w 3152775"/>
            <a:gd name="connsiteY8" fmla="*/ 266700 h 1228725"/>
            <a:gd name="connsiteX0" fmla="*/ 0 w 3152775"/>
            <a:gd name="connsiteY0" fmla="*/ 266700 h 1228725"/>
            <a:gd name="connsiteX1" fmla="*/ 1724025 w 3152775"/>
            <a:gd name="connsiteY1" fmla="*/ 266700 h 1228725"/>
            <a:gd name="connsiteX2" fmla="*/ 1590675 w 3152775"/>
            <a:gd name="connsiteY2" fmla="*/ 95250 h 1228725"/>
            <a:gd name="connsiteX3" fmla="*/ 1895475 w 3152775"/>
            <a:gd name="connsiteY3" fmla="*/ 0 h 1228725"/>
            <a:gd name="connsiteX4" fmla="*/ 3152775 w 3152775"/>
            <a:gd name="connsiteY4" fmla="*/ 723900 h 1228725"/>
            <a:gd name="connsiteX5" fmla="*/ 2486025 w 3152775"/>
            <a:gd name="connsiteY5" fmla="*/ 1228725 h 1228725"/>
            <a:gd name="connsiteX6" fmla="*/ 1724025 w 3152775"/>
            <a:gd name="connsiteY6" fmla="*/ 1219200 h 1228725"/>
            <a:gd name="connsiteX7" fmla="*/ 819150 w 3152775"/>
            <a:gd name="connsiteY7" fmla="*/ 676275 h 1228725"/>
            <a:gd name="connsiteX8" fmla="*/ 0 w 3152775"/>
            <a:gd name="connsiteY8" fmla="*/ 266700 h 1228725"/>
            <a:gd name="connsiteX0" fmla="*/ 0 w 3152775"/>
            <a:gd name="connsiteY0" fmla="*/ 266700 h 1454150"/>
            <a:gd name="connsiteX1" fmla="*/ 1724025 w 3152775"/>
            <a:gd name="connsiteY1" fmla="*/ 266700 h 1454150"/>
            <a:gd name="connsiteX2" fmla="*/ 1590675 w 3152775"/>
            <a:gd name="connsiteY2" fmla="*/ 95250 h 1454150"/>
            <a:gd name="connsiteX3" fmla="*/ 1895475 w 3152775"/>
            <a:gd name="connsiteY3" fmla="*/ 0 h 1454150"/>
            <a:gd name="connsiteX4" fmla="*/ 3152775 w 3152775"/>
            <a:gd name="connsiteY4" fmla="*/ 723900 h 1454150"/>
            <a:gd name="connsiteX5" fmla="*/ 2486025 w 3152775"/>
            <a:gd name="connsiteY5" fmla="*/ 1228725 h 1454150"/>
            <a:gd name="connsiteX6" fmla="*/ 1724025 w 3152775"/>
            <a:gd name="connsiteY6" fmla="*/ 1219200 h 1454150"/>
            <a:gd name="connsiteX7" fmla="*/ 819150 w 3152775"/>
            <a:gd name="connsiteY7" fmla="*/ 676275 h 1454150"/>
            <a:gd name="connsiteX8" fmla="*/ 0 w 3152775"/>
            <a:gd name="connsiteY8" fmla="*/ 266700 h 1454150"/>
            <a:gd name="connsiteX0" fmla="*/ 0 w 3152775"/>
            <a:gd name="connsiteY0" fmla="*/ 266700 h 1316036"/>
            <a:gd name="connsiteX1" fmla="*/ 1724025 w 3152775"/>
            <a:gd name="connsiteY1" fmla="*/ 266700 h 1316036"/>
            <a:gd name="connsiteX2" fmla="*/ 1590675 w 3152775"/>
            <a:gd name="connsiteY2" fmla="*/ 95250 h 1316036"/>
            <a:gd name="connsiteX3" fmla="*/ 1895475 w 3152775"/>
            <a:gd name="connsiteY3" fmla="*/ 0 h 1316036"/>
            <a:gd name="connsiteX4" fmla="*/ 3152775 w 3152775"/>
            <a:gd name="connsiteY4" fmla="*/ 723900 h 1316036"/>
            <a:gd name="connsiteX5" fmla="*/ 2486025 w 3152775"/>
            <a:gd name="connsiteY5" fmla="*/ 1228725 h 1316036"/>
            <a:gd name="connsiteX6" fmla="*/ 2543175 w 3152775"/>
            <a:gd name="connsiteY6" fmla="*/ 1314449 h 1316036"/>
            <a:gd name="connsiteX7" fmla="*/ 1724025 w 3152775"/>
            <a:gd name="connsiteY7" fmla="*/ 1219200 h 1316036"/>
            <a:gd name="connsiteX8" fmla="*/ 819150 w 3152775"/>
            <a:gd name="connsiteY8" fmla="*/ 676275 h 1316036"/>
            <a:gd name="connsiteX9" fmla="*/ 0 w 3152775"/>
            <a:gd name="connsiteY9" fmla="*/ 266700 h 1316036"/>
            <a:gd name="connsiteX0" fmla="*/ 0 w 3152775"/>
            <a:gd name="connsiteY0" fmla="*/ 266700 h 1436687"/>
            <a:gd name="connsiteX1" fmla="*/ 1724025 w 3152775"/>
            <a:gd name="connsiteY1" fmla="*/ 266700 h 1436687"/>
            <a:gd name="connsiteX2" fmla="*/ 1590675 w 3152775"/>
            <a:gd name="connsiteY2" fmla="*/ 95250 h 1436687"/>
            <a:gd name="connsiteX3" fmla="*/ 1895475 w 3152775"/>
            <a:gd name="connsiteY3" fmla="*/ 0 h 1436687"/>
            <a:gd name="connsiteX4" fmla="*/ 3152775 w 3152775"/>
            <a:gd name="connsiteY4" fmla="*/ 723900 h 1436687"/>
            <a:gd name="connsiteX5" fmla="*/ 2686050 w 3152775"/>
            <a:gd name="connsiteY5" fmla="*/ 1352550 h 1436687"/>
            <a:gd name="connsiteX6" fmla="*/ 2543175 w 3152775"/>
            <a:gd name="connsiteY6" fmla="*/ 1314449 h 1436687"/>
            <a:gd name="connsiteX7" fmla="*/ 1724025 w 3152775"/>
            <a:gd name="connsiteY7" fmla="*/ 1219200 h 1436687"/>
            <a:gd name="connsiteX8" fmla="*/ 819150 w 3152775"/>
            <a:gd name="connsiteY8" fmla="*/ 676275 h 1436687"/>
            <a:gd name="connsiteX9" fmla="*/ 0 w 3152775"/>
            <a:gd name="connsiteY9" fmla="*/ 266700 h 1436687"/>
            <a:gd name="connsiteX0" fmla="*/ 0 w 3152775"/>
            <a:gd name="connsiteY0" fmla="*/ 266700 h 1758949"/>
            <a:gd name="connsiteX1" fmla="*/ 1724025 w 3152775"/>
            <a:gd name="connsiteY1" fmla="*/ 266700 h 1758949"/>
            <a:gd name="connsiteX2" fmla="*/ 1590675 w 3152775"/>
            <a:gd name="connsiteY2" fmla="*/ 95250 h 1758949"/>
            <a:gd name="connsiteX3" fmla="*/ 1895475 w 3152775"/>
            <a:gd name="connsiteY3" fmla="*/ 0 h 1758949"/>
            <a:gd name="connsiteX4" fmla="*/ 3152775 w 3152775"/>
            <a:gd name="connsiteY4" fmla="*/ 723900 h 1758949"/>
            <a:gd name="connsiteX5" fmla="*/ 2686050 w 3152775"/>
            <a:gd name="connsiteY5" fmla="*/ 1352550 h 1758949"/>
            <a:gd name="connsiteX6" fmla="*/ 2543175 w 3152775"/>
            <a:gd name="connsiteY6" fmla="*/ 1314449 h 1758949"/>
            <a:gd name="connsiteX7" fmla="*/ 1276350 w 3152775"/>
            <a:gd name="connsiteY7" fmla="*/ 1743074 h 1758949"/>
            <a:gd name="connsiteX8" fmla="*/ 1724025 w 3152775"/>
            <a:gd name="connsiteY8" fmla="*/ 1219200 h 1758949"/>
            <a:gd name="connsiteX9" fmla="*/ 819150 w 3152775"/>
            <a:gd name="connsiteY9" fmla="*/ 676275 h 1758949"/>
            <a:gd name="connsiteX10" fmla="*/ 0 w 3152775"/>
            <a:gd name="connsiteY10" fmla="*/ 266700 h 1758949"/>
            <a:gd name="connsiteX0" fmla="*/ 0 w 3152775"/>
            <a:gd name="connsiteY0" fmla="*/ 266700 h 1795461"/>
            <a:gd name="connsiteX1" fmla="*/ 1724025 w 3152775"/>
            <a:gd name="connsiteY1" fmla="*/ 266700 h 1795461"/>
            <a:gd name="connsiteX2" fmla="*/ 1590675 w 3152775"/>
            <a:gd name="connsiteY2" fmla="*/ 95250 h 1795461"/>
            <a:gd name="connsiteX3" fmla="*/ 1895475 w 3152775"/>
            <a:gd name="connsiteY3" fmla="*/ 0 h 1795461"/>
            <a:gd name="connsiteX4" fmla="*/ 3152775 w 3152775"/>
            <a:gd name="connsiteY4" fmla="*/ 723900 h 1795461"/>
            <a:gd name="connsiteX5" fmla="*/ 2686050 w 3152775"/>
            <a:gd name="connsiteY5" fmla="*/ 1352550 h 1795461"/>
            <a:gd name="connsiteX6" fmla="*/ 2105025 w 3152775"/>
            <a:gd name="connsiteY6" fmla="*/ 1533524 h 1795461"/>
            <a:gd name="connsiteX7" fmla="*/ 1276350 w 3152775"/>
            <a:gd name="connsiteY7" fmla="*/ 1743074 h 1795461"/>
            <a:gd name="connsiteX8" fmla="*/ 1724025 w 3152775"/>
            <a:gd name="connsiteY8" fmla="*/ 1219200 h 1795461"/>
            <a:gd name="connsiteX9" fmla="*/ 819150 w 3152775"/>
            <a:gd name="connsiteY9" fmla="*/ 676275 h 1795461"/>
            <a:gd name="connsiteX10" fmla="*/ 0 w 3152775"/>
            <a:gd name="connsiteY10" fmla="*/ 266700 h 1795461"/>
            <a:gd name="connsiteX0" fmla="*/ 0 w 3152775"/>
            <a:gd name="connsiteY0" fmla="*/ 266700 h 1795461"/>
            <a:gd name="connsiteX1" fmla="*/ 1724025 w 3152775"/>
            <a:gd name="connsiteY1" fmla="*/ 266700 h 1795461"/>
            <a:gd name="connsiteX2" fmla="*/ 1590675 w 3152775"/>
            <a:gd name="connsiteY2" fmla="*/ 95250 h 1795461"/>
            <a:gd name="connsiteX3" fmla="*/ 1895475 w 3152775"/>
            <a:gd name="connsiteY3" fmla="*/ 0 h 1795461"/>
            <a:gd name="connsiteX4" fmla="*/ 3152775 w 3152775"/>
            <a:gd name="connsiteY4" fmla="*/ 723900 h 1795461"/>
            <a:gd name="connsiteX5" fmla="*/ 2686050 w 3152775"/>
            <a:gd name="connsiteY5" fmla="*/ 1352550 h 1795461"/>
            <a:gd name="connsiteX6" fmla="*/ 2105025 w 3152775"/>
            <a:gd name="connsiteY6" fmla="*/ 1533524 h 1795461"/>
            <a:gd name="connsiteX7" fmla="*/ 1276350 w 3152775"/>
            <a:gd name="connsiteY7" fmla="*/ 1743074 h 1795461"/>
            <a:gd name="connsiteX8" fmla="*/ 1743075 w 3152775"/>
            <a:gd name="connsiteY8" fmla="*/ 1533524 h 1795461"/>
            <a:gd name="connsiteX9" fmla="*/ 1724025 w 3152775"/>
            <a:gd name="connsiteY9" fmla="*/ 1219200 h 1795461"/>
            <a:gd name="connsiteX10" fmla="*/ 819150 w 3152775"/>
            <a:gd name="connsiteY10" fmla="*/ 676275 h 1795461"/>
            <a:gd name="connsiteX11" fmla="*/ 0 w 3152775"/>
            <a:gd name="connsiteY11" fmla="*/ 266700 h 1795461"/>
            <a:gd name="connsiteX0" fmla="*/ 0 w 3152775"/>
            <a:gd name="connsiteY0" fmla="*/ 266700 h 1795461"/>
            <a:gd name="connsiteX1" fmla="*/ 1724025 w 3152775"/>
            <a:gd name="connsiteY1" fmla="*/ 266700 h 1795461"/>
            <a:gd name="connsiteX2" fmla="*/ 1590675 w 3152775"/>
            <a:gd name="connsiteY2" fmla="*/ 95250 h 1795461"/>
            <a:gd name="connsiteX3" fmla="*/ 1895475 w 3152775"/>
            <a:gd name="connsiteY3" fmla="*/ 0 h 1795461"/>
            <a:gd name="connsiteX4" fmla="*/ 3152775 w 3152775"/>
            <a:gd name="connsiteY4" fmla="*/ 723900 h 1795461"/>
            <a:gd name="connsiteX5" fmla="*/ 2686050 w 3152775"/>
            <a:gd name="connsiteY5" fmla="*/ 1352550 h 1795461"/>
            <a:gd name="connsiteX6" fmla="*/ 2105025 w 3152775"/>
            <a:gd name="connsiteY6" fmla="*/ 1533524 h 1795461"/>
            <a:gd name="connsiteX7" fmla="*/ 1276350 w 3152775"/>
            <a:gd name="connsiteY7" fmla="*/ 1743074 h 1795461"/>
            <a:gd name="connsiteX8" fmla="*/ 1952625 w 3152775"/>
            <a:gd name="connsiteY8" fmla="*/ 1523999 h 1795461"/>
            <a:gd name="connsiteX9" fmla="*/ 1743075 w 3152775"/>
            <a:gd name="connsiteY9" fmla="*/ 1533524 h 1795461"/>
            <a:gd name="connsiteX10" fmla="*/ 1724025 w 3152775"/>
            <a:gd name="connsiteY10" fmla="*/ 1219200 h 1795461"/>
            <a:gd name="connsiteX11" fmla="*/ 819150 w 3152775"/>
            <a:gd name="connsiteY11" fmla="*/ 676275 h 1795461"/>
            <a:gd name="connsiteX12" fmla="*/ 0 w 3152775"/>
            <a:gd name="connsiteY12" fmla="*/ 266700 h 1795461"/>
            <a:gd name="connsiteX0" fmla="*/ 0 w 3152775"/>
            <a:gd name="connsiteY0" fmla="*/ 266700 h 1584324"/>
            <a:gd name="connsiteX1" fmla="*/ 1724025 w 3152775"/>
            <a:gd name="connsiteY1" fmla="*/ 266700 h 1584324"/>
            <a:gd name="connsiteX2" fmla="*/ 1590675 w 3152775"/>
            <a:gd name="connsiteY2" fmla="*/ 95250 h 1584324"/>
            <a:gd name="connsiteX3" fmla="*/ 1895475 w 3152775"/>
            <a:gd name="connsiteY3" fmla="*/ 0 h 1584324"/>
            <a:gd name="connsiteX4" fmla="*/ 3152775 w 3152775"/>
            <a:gd name="connsiteY4" fmla="*/ 723900 h 1584324"/>
            <a:gd name="connsiteX5" fmla="*/ 2686050 w 3152775"/>
            <a:gd name="connsiteY5" fmla="*/ 1352550 h 1584324"/>
            <a:gd name="connsiteX6" fmla="*/ 2105025 w 3152775"/>
            <a:gd name="connsiteY6" fmla="*/ 1533524 h 1584324"/>
            <a:gd name="connsiteX7" fmla="*/ 2095500 w 3152775"/>
            <a:gd name="connsiteY7" fmla="*/ 1428749 h 1584324"/>
            <a:gd name="connsiteX8" fmla="*/ 1952625 w 3152775"/>
            <a:gd name="connsiteY8" fmla="*/ 1523999 h 1584324"/>
            <a:gd name="connsiteX9" fmla="*/ 1743075 w 3152775"/>
            <a:gd name="connsiteY9" fmla="*/ 1533524 h 1584324"/>
            <a:gd name="connsiteX10" fmla="*/ 1724025 w 3152775"/>
            <a:gd name="connsiteY10" fmla="*/ 1219200 h 1584324"/>
            <a:gd name="connsiteX11" fmla="*/ 819150 w 3152775"/>
            <a:gd name="connsiteY11" fmla="*/ 676275 h 1584324"/>
            <a:gd name="connsiteX12" fmla="*/ 0 w 3152775"/>
            <a:gd name="connsiteY12" fmla="*/ 266700 h 1584324"/>
            <a:gd name="connsiteX0" fmla="*/ 0 w 3152775"/>
            <a:gd name="connsiteY0" fmla="*/ 266700 h 1584324"/>
            <a:gd name="connsiteX1" fmla="*/ 1724025 w 3152775"/>
            <a:gd name="connsiteY1" fmla="*/ 266700 h 1584324"/>
            <a:gd name="connsiteX2" fmla="*/ 1590675 w 3152775"/>
            <a:gd name="connsiteY2" fmla="*/ 95250 h 1584324"/>
            <a:gd name="connsiteX3" fmla="*/ 1895475 w 3152775"/>
            <a:gd name="connsiteY3" fmla="*/ 0 h 1584324"/>
            <a:gd name="connsiteX4" fmla="*/ 3152775 w 3152775"/>
            <a:gd name="connsiteY4" fmla="*/ 723900 h 1584324"/>
            <a:gd name="connsiteX5" fmla="*/ 2686050 w 3152775"/>
            <a:gd name="connsiteY5" fmla="*/ 1352550 h 1584324"/>
            <a:gd name="connsiteX6" fmla="*/ 2105025 w 3152775"/>
            <a:gd name="connsiteY6" fmla="*/ 1533524 h 1584324"/>
            <a:gd name="connsiteX7" fmla="*/ 2019300 w 3152775"/>
            <a:gd name="connsiteY7" fmla="*/ 1523999 h 1584324"/>
            <a:gd name="connsiteX8" fmla="*/ 1952625 w 3152775"/>
            <a:gd name="connsiteY8" fmla="*/ 1523999 h 1584324"/>
            <a:gd name="connsiteX9" fmla="*/ 1743075 w 3152775"/>
            <a:gd name="connsiteY9" fmla="*/ 1533524 h 1584324"/>
            <a:gd name="connsiteX10" fmla="*/ 1724025 w 3152775"/>
            <a:gd name="connsiteY10" fmla="*/ 1219200 h 1584324"/>
            <a:gd name="connsiteX11" fmla="*/ 819150 w 3152775"/>
            <a:gd name="connsiteY11" fmla="*/ 676275 h 1584324"/>
            <a:gd name="connsiteX12" fmla="*/ 0 w 3152775"/>
            <a:gd name="connsiteY12" fmla="*/ 266700 h 1584324"/>
            <a:gd name="connsiteX0" fmla="*/ 0 w 3328988"/>
            <a:gd name="connsiteY0" fmla="*/ 266700 h 1584324"/>
            <a:gd name="connsiteX1" fmla="*/ 1724025 w 3328988"/>
            <a:gd name="connsiteY1" fmla="*/ 266700 h 1584324"/>
            <a:gd name="connsiteX2" fmla="*/ 1590675 w 3328988"/>
            <a:gd name="connsiteY2" fmla="*/ 95250 h 1584324"/>
            <a:gd name="connsiteX3" fmla="*/ 1895475 w 3328988"/>
            <a:gd name="connsiteY3" fmla="*/ 0 h 1584324"/>
            <a:gd name="connsiteX4" fmla="*/ 3152775 w 3328988"/>
            <a:gd name="connsiteY4" fmla="*/ 723900 h 1584324"/>
            <a:gd name="connsiteX5" fmla="*/ 2505075 w 3328988"/>
            <a:gd name="connsiteY5" fmla="*/ 1047749 h 1584324"/>
            <a:gd name="connsiteX6" fmla="*/ 2686050 w 3328988"/>
            <a:gd name="connsiteY6" fmla="*/ 1352550 h 1584324"/>
            <a:gd name="connsiteX7" fmla="*/ 2105025 w 3328988"/>
            <a:gd name="connsiteY7" fmla="*/ 1533524 h 1584324"/>
            <a:gd name="connsiteX8" fmla="*/ 2019300 w 3328988"/>
            <a:gd name="connsiteY8" fmla="*/ 1523999 h 1584324"/>
            <a:gd name="connsiteX9" fmla="*/ 1952625 w 3328988"/>
            <a:gd name="connsiteY9" fmla="*/ 1523999 h 1584324"/>
            <a:gd name="connsiteX10" fmla="*/ 1743075 w 3328988"/>
            <a:gd name="connsiteY10" fmla="*/ 1533524 h 1584324"/>
            <a:gd name="connsiteX11" fmla="*/ 1724025 w 3328988"/>
            <a:gd name="connsiteY11" fmla="*/ 1219200 h 1584324"/>
            <a:gd name="connsiteX12" fmla="*/ 819150 w 3328988"/>
            <a:gd name="connsiteY12" fmla="*/ 676275 h 1584324"/>
            <a:gd name="connsiteX13" fmla="*/ 0 w 3328988"/>
            <a:gd name="connsiteY13" fmla="*/ 266700 h 1584324"/>
            <a:gd name="connsiteX0" fmla="*/ 0 w 3328988"/>
            <a:gd name="connsiteY0" fmla="*/ 266700 h 1584324"/>
            <a:gd name="connsiteX1" fmla="*/ 1724025 w 3328988"/>
            <a:gd name="connsiteY1" fmla="*/ 266700 h 1584324"/>
            <a:gd name="connsiteX2" fmla="*/ 1590675 w 3328988"/>
            <a:gd name="connsiteY2" fmla="*/ 95250 h 1584324"/>
            <a:gd name="connsiteX3" fmla="*/ 1895475 w 3328988"/>
            <a:gd name="connsiteY3" fmla="*/ 0 h 1584324"/>
            <a:gd name="connsiteX4" fmla="*/ 3152775 w 3328988"/>
            <a:gd name="connsiteY4" fmla="*/ 723900 h 1584324"/>
            <a:gd name="connsiteX5" fmla="*/ 2505075 w 3328988"/>
            <a:gd name="connsiteY5" fmla="*/ 1047749 h 1584324"/>
            <a:gd name="connsiteX6" fmla="*/ 2286000 w 3328988"/>
            <a:gd name="connsiteY6" fmla="*/ 1200150 h 1584324"/>
            <a:gd name="connsiteX7" fmla="*/ 2105025 w 3328988"/>
            <a:gd name="connsiteY7" fmla="*/ 1533524 h 1584324"/>
            <a:gd name="connsiteX8" fmla="*/ 2019300 w 3328988"/>
            <a:gd name="connsiteY8" fmla="*/ 1523999 h 1584324"/>
            <a:gd name="connsiteX9" fmla="*/ 1952625 w 3328988"/>
            <a:gd name="connsiteY9" fmla="*/ 1523999 h 1584324"/>
            <a:gd name="connsiteX10" fmla="*/ 1743075 w 3328988"/>
            <a:gd name="connsiteY10" fmla="*/ 1533524 h 1584324"/>
            <a:gd name="connsiteX11" fmla="*/ 1724025 w 3328988"/>
            <a:gd name="connsiteY11" fmla="*/ 1219200 h 1584324"/>
            <a:gd name="connsiteX12" fmla="*/ 819150 w 3328988"/>
            <a:gd name="connsiteY12" fmla="*/ 676275 h 1584324"/>
            <a:gd name="connsiteX13" fmla="*/ 0 w 3328988"/>
            <a:gd name="connsiteY13" fmla="*/ 266700 h 1584324"/>
            <a:gd name="connsiteX0" fmla="*/ 0 w 3328988"/>
            <a:gd name="connsiteY0" fmla="*/ 266700 h 1997075"/>
            <a:gd name="connsiteX1" fmla="*/ 1724025 w 3328988"/>
            <a:gd name="connsiteY1" fmla="*/ 266700 h 1997075"/>
            <a:gd name="connsiteX2" fmla="*/ 1590675 w 3328988"/>
            <a:gd name="connsiteY2" fmla="*/ 95250 h 1997075"/>
            <a:gd name="connsiteX3" fmla="*/ 1895475 w 3328988"/>
            <a:gd name="connsiteY3" fmla="*/ 0 h 1997075"/>
            <a:gd name="connsiteX4" fmla="*/ 3152775 w 3328988"/>
            <a:gd name="connsiteY4" fmla="*/ 723900 h 1997075"/>
            <a:gd name="connsiteX5" fmla="*/ 2505075 w 3328988"/>
            <a:gd name="connsiteY5" fmla="*/ 1047749 h 1997075"/>
            <a:gd name="connsiteX6" fmla="*/ 2286000 w 3328988"/>
            <a:gd name="connsiteY6" fmla="*/ 1200150 h 1997075"/>
            <a:gd name="connsiteX7" fmla="*/ 2105025 w 3328988"/>
            <a:gd name="connsiteY7" fmla="*/ 1533524 h 1997075"/>
            <a:gd name="connsiteX8" fmla="*/ 2019300 w 3328988"/>
            <a:gd name="connsiteY8" fmla="*/ 1523999 h 1997075"/>
            <a:gd name="connsiteX9" fmla="*/ 1952625 w 3328988"/>
            <a:gd name="connsiteY9" fmla="*/ 1523999 h 1997075"/>
            <a:gd name="connsiteX10" fmla="*/ 1743075 w 3328988"/>
            <a:gd name="connsiteY10" fmla="*/ 1533524 h 1997075"/>
            <a:gd name="connsiteX11" fmla="*/ 1314450 w 3328988"/>
            <a:gd name="connsiteY11" fmla="*/ 1819275 h 1997075"/>
            <a:gd name="connsiteX12" fmla="*/ 819150 w 3328988"/>
            <a:gd name="connsiteY12" fmla="*/ 676275 h 1997075"/>
            <a:gd name="connsiteX13" fmla="*/ 0 w 3328988"/>
            <a:gd name="connsiteY13" fmla="*/ 266700 h 1997075"/>
            <a:gd name="connsiteX0" fmla="*/ 0 w 3328988"/>
            <a:gd name="connsiteY0" fmla="*/ 266700 h 1997075"/>
            <a:gd name="connsiteX1" fmla="*/ 1724025 w 3328988"/>
            <a:gd name="connsiteY1" fmla="*/ 266700 h 1997075"/>
            <a:gd name="connsiteX2" fmla="*/ 1590675 w 3328988"/>
            <a:gd name="connsiteY2" fmla="*/ 95250 h 1997075"/>
            <a:gd name="connsiteX3" fmla="*/ 1895475 w 3328988"/>
            <a:gd name="connsiteY3" fmla="*/ 0 h 1997075"/>
            <a:gd name="connsiteX4" fmla="*/ 3152775 w 3328988"/>
            <a:gd name="connsiteY4" fmla="*/ 723900 h 1997075"/>
            <a:gd name="connsiteX5" fmla="*/ 2505075 w 3328988"/>
            <a:gd name="connsiteY5" fmla="*/ 1047749 h 1997075"/>
            <a:gd name="connsiteX6" fmla="*/ 2286000 w 3328988"/>
            <a:gd name="connsiteY6" fmla="*/ 1200150 h 1997075"/>
            <a:gd name="connsiteX7" fmla="*/ 1962150 w 3328988"/>
            <a:gd name="connsiteY7" fmla="*/ 1362074 h 1997075"/>
            <a:gd name="connsiteX8" fmla="*/ 2019300 w 3328988"/>
            <a:gd name="connsiteY8" fmla="*/ 1523999 h 1997075"/>
            <a:gd name="connsiteX9" fmla="*/ 1952625 w 3328988"/>
            <a:gd name="connsiteY9" fmla="*/ 1523999 h 1997075"/>
            <a:gd name="connsiteX10" fmla="*/ 1743075 w 3328988"/>
            <a:gd name="connsiteY10" fmla="*/ 1533524 h 1997075"/>
            <a:gd name="connsiteX11" fmla="*/ 1314450 w 3328988"/>
            <a:gd name="connsiteY11" fmla="*/ 1819275 h 1997075"/>
            <a:gd name="connsiteX12" fmla="*/ 819150 w 3328988"/>
            <a:gd name="connsiteY12" fmla="*/ 676275 h 1997075"/>
            <a:gd name="connsiteX13" fmla="*/ 0 w 3328988"/>
            <a:gd name="connsiteY13" fmla="*/ 266700 h 1997075"/>
            <a:gd name="connsiteX0" fmla="*/ 0 w 3328988"/>
            <a:gd name="connsiteY0" fmla="*/ 266700 h 1997075"/>
            <a:gd name="connsiteX1" fmla="*/ 1724025 w 3328988"/>
            <a:gd name="connsiteY1" fmla="*/ 266700 h 1997075"/>
            <a:gd name="connsiteX2" fmla="*/ 1590675 w 3328988"/>
            <a:gd name="connsiteY2" fmla="*/ 95250 h 1997075"/>
            <a:gd name="connsiteX3" fmla="*/ 1895475 w 3328988"/>
            <a:gd name="connsiteY3" fmla="*/ 0 h 1997075"/>
            <a:gd name="connsiteX4" fmla="*/ 3152775 w 3328988"/>
            <a:gd name="connsiteY4" fmla="*/ 723900 h 1997075"/>
            <a:gd name="connsiteX5" fmla="*/ 2505075 w 3328988"/>
            <a:gd name="connsiteY5" fmla="*/ 1047749 h 1997075"/>
            <a:gd name="connsiteX6" fmla="*/ 2286000 w 3328988"/>
            <a:gd name="connsiteY6" fmla="*/ 1200150 h 1997075"/>
            <a:gd name="connsiteX7" fmla="*/ 1962150 w 3328988"/>
            <a:gd name="connsiteY7" fmla="*/ 1362074 h 1997075"/>
            <a:gd name="connsiteX8" fmla="*/ 1819275 w 3328988"/>
            <a:gd name="connsiteY8" fmla="*/ 1400174 h 1997075"/>
            <a:gd name="connsiteX9" fmla="*/ 1952625 w 3328988"/>
            <a:gd name="connsiteY9" fmla="*/ 1523999 h 1997075"/>
            <a:gd name="connsiteX10" fmla="*/ 1743075 w 3328988"/>
            <a:gd name="connsiteY10" fmla="*/ 1533524 h 1997075"/>
            <a:gd name="connsiteX11" fmla="*/ 1314450 w 3328988"/>
            <a:gd name="connsiteY11" fmla="*/ 1819275 h 1997075"/>
            <a:gd name="connsiteX12" fmla="*/ 819150 w 3328988"/>
            <a:gd name="connsiteY12" fmla="*/ 676275 h 1997075"/>
            <a:gd name="connsiteX13" fmla="*/ 0 w 3328988"/>
            <a:gd name="connsiteY13" fmla="*/ 266700 h 1997075"/>
            <a:gd name="connsiteX0" fmla="*/ 0 w 3328988"/>
            <a:gd name="connsiteY0" fmla="*/ 266700 h 1997075"/>
            <a:gd name="connsiteX1" fmla="*/ 1724025 w 3328988"/>
            <a:gd name="connsiteY1" fmla="*/ 266700 h 1997075"/>
            <a:gd name="connsiteX2" fmla="*/ 1590675 w 3328988"/>
            <a:gd name="connsiteY2" fmla="*/ 95250 h 1997075"/>
            <a:gd name="connsiteX3" fmla="*/ 1895475 w 3328988"/>
            <a:gd name="connsiteY3" fmla="*/ 0 h 1997075"/>
            <a:gd name="connsiteX4" fmla="*/ 3152775 w 3328988"/>
            <a:gd name="connsiteY4" fmla="*/ 723900 h 1997075"/>
            <a:gd name="connsiteX5" fmla="*/ 2505075 w 3328988"/>
            <a:gd name="connsiteY5" fmla="*/ 1047749 h 1997075"/>
            <a:gd name="connsiteX6" fmla="*/ 2286000 w 3328988"/>
            <a:gd name="connsiteY6" fmla="*/ 1200150 h 1997075"/>
            <a:gd name="connsiteX7" fmla="*/ 1962150 w 3328988"/>
            <a:gd name="connsiteY7" fmla="*/ 1362074 h 1997075"/>
            <a:gd name="connsiteX8" fmla="*/ 1819275 w 3328988"/>
            <a:gd name="connsiteY8" fmla="*/ 1400174 h 1997075"/>
            <a:gd name="connsiteX9" fmla="*/ 1714500 w 3328988"/>
            <a:gd name="connsiteY9" fmla="*/ 1438274 h 1997075"/>
            <a:gd name="connsiteX10" fmla="*/ 1743075 w 3328988"/>
            <a:gd name="connsiteY10" fmla="*/ 1533524 h 1997075"/>
            <a:gd name="connsiteX11" fmla="*/ 1314450 w 3328988"/>
            <a:gd name="connsiteY11" fmla="*/ 1819275 h 1997075"/>
            <a:gd name="connsiteX12" fmla="*/ 819150 w 3328988"/>
            <a:gd name="connsiteY12" fmla="*/ 676275 h 1997075"/>
            <a:gd name="connsiteX13" fmla="*/ 0 w 3328988"/>
            <a:gd name="connsiteY13" fmla="*/ 266700 h 19970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3328988" h="1997075">
              <a:moveTo>
                <a:pt x="0" y="266700"/>
              </a:moveTo>
              <a:lnTo>
                <a:pt x="1724025" y="266700"/>
              </a:lnTo>
              <a:lnTo>
                <a:pt x="1590675" y="95250"/>
              </a:lnTo>
              <a:lnTo>
                <a:pt x="1895475" y="0"/>
              </a:lnTo>
              <a:lnTo>
                <a:pt x="3152775" y="723900"/>
              </a:lnTo>
              <a:cubicBezTo>
                <a:pt x="3328988" y="923925"/>
                <a:pt x="2649537" y="968374"/>
                <a:pt x="2505075" y="1047749"/>
              </a:cubicBezTo>
              <a:cubicBezTo>
                <a:pt x="2360613" y="1127124"/>
                <a:pt x="2427287" y="1144588"/>
                <a:pt x="2286000" y="1200150"/>
              </a:cubicBezTo>
              <a:cubicBezTo>
                <a:pt x="2173288" y="1284287"/>
                <a:pt x="2122488" y="1384299"/>
                <a:pt x="1962150" y="1362074"/>
              </a:cubicBezTo>
              <a:cubicBezTo>
                <a:pt x="1890713" y="1352549"/>
                <a:pt x="1882775" y="1452561"/>
                <a:pt x="1819275" y="1400174"/>
              </a:cubicBezTo>
              <a:cubicBezTo>
                <a:pt x="1679575" y="1431924"/>
                <a:pt x="1727200" y="1416049"/>
                <a:pt x="1714500" y="1438274"/>
              </a:cubicBezTo>
              <a:cubicBezTo>
                <a:pt x="1701800" y="1460499"/>
                <a:pt x="1809750" y="1470024"/>
                <a:pt x="1743075" y="1533524"/>
              </a:cubicBezTo>
              <a:cubicBezTo>
                <a:pt x="1676400" y="1597024"/>
                <a:pt x="1389062" y="1997075"/>
                <a:pt x="1314450" y="1819275"/>
              </a:cubicBezTo>
              <a:lnTo>
                <a:pt x="819150" y="676275"/>
              </a:lnTo>
              <a:lnTo>
                <a:pt x="0" y="266700"/>
              </a:lnTo>
              <a:close/>
            </a:path>
          </a:pathLst>
        </a:custGeom>
        <a:solidFill>
          <a:srgbClr val="D7E4BC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A</a:t>
          </a:r>
        </a:p>
      </xdr:txBody>
    </xdr:sp>
    <xdr:clientData/>
  </xdr:twoCellAnchor>
  <xdr:twoCellAnchor>
    <xdr:from>
      <xdr:col>29</xdr:col>
      <xdr:colOff>1250828</xdr:colOff>
      <xdr:row>40</xdr:row>
      <xdr:rowOff>79849</xdr:rowOff>
    </xdr:from>
    <xdr:to>
      <xdr:col>31</xdr:col>
      <xdr:colOff>14743</xdr:colOff>
      <xdr:row>45</xdr:row>
      <xdr:rowOff>39985</xdr:rowOff>
    </xdr:to>
    <xdr:sp macro="" textlink="">
      <xdr:nvSpPr>
        <xdr:cNvPr id="262" name="H_Area"/>
        <xdr:cNvSpPr/>
      </xdr:nvSpPr>
      <xdr:spPr>
        <a:xfrm>
          <a:off x="37829901" y="7454043"/>
          <a:ext cx="1237342" cy="881910"/>
        </a:xfrm>
        <a:prstGeom prst="rect">
          <a:avLst/>
        </a:prstGeom>
        <a:solidFill>
          <a:srgbClr val="FAC090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H</a:t>
          </a:r>
        </a:p>
      </xdr:txBody>
    </xdr:sp>
    <xdr:clientData/>
  </xdr:twoCellAnchor>
  <xdr:twoCellAnchor>
    <xdr:from>
      <xdr:col>32</xdr:col>
      <xdr:colOff>802923</xdr:colOff>
      <xdr:row>45</xdr:row>
      <xdr:rowOff>30468</xdr:rowOff>
    </xdr:from>
    <xdr:to>
      <xdr:col>32</xdr:col>
      <xdr:colOff>1786648</xdr:colOff>
      <xdr:row>49</xdr:row>
      <xdr:rowOff>127374</xdr:rowOff>
    </xdr:to>
    <xdr:sp macro="" textlink="">
      <xdr:nvSpPr>
        <xdr:cNvPr id="263" name="J_Area"/>
        <xdr:cNvSpPr/>
      </xdr:nvSpPr>
      <xdr:spPr>
        <a:xfrm>
          <a:off x="41145907" y="8326436"/>
          <a:ext cx="983725" cy="834325"/>
        </a:xfrm>
        <a:prstGeom prst="rect">
          <a:avLst/>
        </a:prstGeom>
        <a:solidFill>
          <a:srgbClr val="75923C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J</a:t>
          </a:r>
        </a:p>
      </xdr:txBody>
    </xdr:sp>
    <xdr:clientData/>
  </xdr:twoCellAnchor>
  <xdr:twoCellAnchor>
    <xdr:from>
      <xdr:col>29</xdr:col>
      <xdr:colOff>400919</xdr:colOff>
      <xdr:row>15</xdr:row>
      <xdr:rowOff>4</xdr:rowOff>
    </xdr:from>
    <xdr:to>
      <xdr:col>32</xdr:col>
      <xdr:colOff>514949</xdr:colOff>
      <xdr:row>22</xdr:row>
      <xdr:rowOff>13352</xdr:rowOff>
    </xdr:to>
    <xdr:sp macro="" textlink="">
      <xdr:nvSpPr>
        <xdr:cNvPr id="264" name="R_Area"/>
        <xdr:cNvSpPr/>
      </xdr:nvSpPr>
      <xdr:spPr>
        <a:xfrm>
          <a:off x="36979992" y="2765327"/>
          <a:ext cx="3877941" cy="1303831"/>
        </a:xfrm>
        <a:custGeom>
          <a:avLst/>
          <a:gdLst>
            <a:gd name="connsiteX0" fmla="*/ 0 w 1590675"/>
            <a:gd name="connsiteY0" fmla="*/ 0 h 962025"/>
            <a:gd name="connsiteX1" fmla="*/ 1590675 w 1590675"/>
            <a:gd name="connsiteY1" fmla="*/ 0 h 962025"/>
            <a:gd name="connsiteX2" fmla="*/ 1590675 w 1590675"/>
            <a:gd name="connsiteY2" fmla="*/ 962025 h 962025"/>
            <a:gd name="connsiteX3" fmla="*/ 0 w 1590675"/>
            <a:gd name="connsiteY3" fmla="*/ 962025 h 962025"/>
            <a:gd name="connsiteX4" fmla="*/ 0 w 1590675"/>
            <a:gd name="connsiteY4" fmla="*/ 0 h 962025"/>
            <a:gd name="connsiteX0" fmla="*/ 0 w 1590675"/>
            <a:gd name="connsiteY0" fmla="*/ 0 h 1323975"/>
            <a:gd name="connsiteX1" fmla="*/ 1590675 w 1590675"/>
            <a:gd name="connsiteY1" fmla="*/ 0 h 1323975"/>
            <a:gd name="connsiteX2" fmla="*/ 1590675 w 1590675"/>
            <a:gd name="connsiteY2" fmla="*/ 962025 h 1323975"/>
            <a:gd name="connsiteX3" fmla="*/ 819150 w 1590675"/>
            <a:gd name="connsiteY3" fmla="*/ 1323975 h 1323975"/>
            <a:gd name="connsiteX4" fmla="*/ 0 w 1590675"/>
            <a:gd name="connsiteY4" fmla="*/ 962025 h 1323975"/>
            <a:gd name="connsiteX5" fmla="*/ 0 w 1590675"/>
            <a:gd name="connsiteY5" fmla="*/ 0 h 1323975"/>
            <a:gd name="connsiteX0" fmla="*/ 0 w 1590675"/>
            <a:gd name="connsiteY0" fmla="*/ 0 h 1374775"/>
            <a:gd name="connsiteX1" fmla="*/ 1590675 w 1590675"/>
            <a:gd name="connsiteY1" fmla="*/ 0 h 1374775"/>
            <a:gd name="connsiteX2" fmla="*/ 1590675 w 1590675"/>
            <a:gd name="connsiteY2" fmla="*/ 962025 h 1374775"/>
            <a:gd name="connsiteX3" fmla="*/ 819150 w 1590675"/>
            <a:gd name="connsiteY3" fmla="*/ 1323975 h 1374775"/>
            <a:gd name="connsiteX4" fmla="*/ 0 w 1590675"/>
            <a:gd name="connsiteY4" fmla="*/ 962025 h 1374775"/>
            <a:gd name="connsiteX5" fmla="*/ 0 w 1590675"/>
            <a:gd name="connsiteY5" fmla="*/ 0 h 1374775"/>
            <a:gd name="connsiteX0" fmla="*/ 0 w 1590675"/>
            <a:gd name="connsiteY0" fmla="*/ 0 h 1374775"/>
            <a:gd name="connsiteX1" fmla="*/ 1590675 w 1590675"/>
            <a:gd name="connsiteY1" fmla="*/ 0 h 1374775"/>
            <a:gd name="connsiteX2" fmla="*/ 1590675 w 1590675"/>
            <a:gd name="connsiteY2" fmla="*/ 962025 h 1374775"/>
            <a:gd name="connsiteX3" fmla="*/ 1362075 w 1590675"/>
            <a:gd name="connsiteY3" fmla="*/ 1190625 h 1374775"/>
            <a:gd name="connsiteX4" fmla="*/ 819150 w 1590675"/>
            <a:gd name="connsiteY4" fmla="*/ 1323975 h 1374775"/>
            <a:gd name="connsiteX5" fmla="*/ 0 w 1590675"/>
            <a:gd name="connsiteY5" fmla="*/ 962025 h 1374775"/>
            <a:gd name="connsiteX6" fmla="*/ 0 w 1590675"/>
            <a:gd name="connsiteY6" fmla="*/ 0 h 1374775"/>
            <a:gd name="connsiteX0" fmla="*/ 0 w 1590675"/>
            <a:gd name="connsiteY0" fmla="*/ 0 h 1374775"/>
            <a:gd name="connsiteX1" fmla="*/ 1590675 w 1590675"/>
            <a:gd name="connsiteY1" fmla="*/ 0 h 1374775"/>
            <a:gd name="connsiteX2" fmla="*/ 1590675 w 1590675"/>
            <a:gd name="connsiteY2" fmla="*/ 962025 h 1374775"/>
            <a:gd name="connsiteX3" fmla="*/ 1362075 w 1590675"/>
            <a:gd name="connsiteY3" fmla="*/ 1190625 h 1374775"/>
            <a:gd name="connsiteX4" fmla="*/ 819150 w 1590675"/>
            <a:gd name="connsiteY4" fmla="*/ 1323975 h 1374775"/>
            <a:gd name="connsiteX5" fmla="*/ 0 w 1590675"/>
            <a:gd name="connsiteY5" fmla="*/ 962025 h 1374775"/>
            <a:gd name="connsiteX6" fmla="*/ 0 w 1590675"/>
            <a:gd name="connsiteY6" fmla="*/ 0 h 1374775"/>
            <a:gd name="connsiteX0" fmla="*/ 0 w 1590675"/>
            <a:gd name="connsiteY0" fmla="*/ 0 h 1374775"/>
            <a:gd name="connsiteX1" fmla="*/ 1590675 w 1590675"/>
            <a:gd name="connsiteY1" fmla="*/ 0 h 1374775"/>
            <a:gd name="connsiteX2" fmla="*/ 1590675 w 1590675"/>
            <a:gd name="connsiteY2" fmla="*/ 962025 h 1374775"/>
            <a:gd name="connsiteX3" fmla="*/ 1362075 w 1590675"/>
            <a:gd name="connsiteY3" fmla="*/ 1190625 h 1374775"/>
            <a:gd name="connsiteX4" fmla="*/ 819150 w 1590675"/>
            <a:gd name="connsiteY4" fmla="*/ 1323975 h 1374775"/>
            <a:gd name="connsiteX5" fmla="*/ 0 w 1590675"/>
            <a:gd name="connsiteY5" fmla="*/ 962025 h 1374775"/>
            <a:gd name="connsiteX6" fmla="*/ 0 w 1590675"/>
            <a:gd name="connsiteY6" fmla="*/ 0 h 1374775"/>
            <a:gd name="connsiteX0" fmla="*/ 923925 w 2514600"/>
            <a:gd name="connsiteY0" fmla="*/ 0 h 1374775"/>
            <a:gd name="connsiteX1" fmla="*/ 2514600 w 2514600"/>
            <a:gd name="connsiteY1" fmla="*/ 0 h 1374775"/>
            <a:gd name="connsiteX2" fmla="*/ 2514600 w 2514600"/>
            <a:gd name="connsiteY2" fmla="*/ 962025 h 1374775"/>
            <a:gd name="connsiteX3" fmla="*/ 2286000 w 2514600"/>
            <a:gd name="connsiteY3" fmla="*/ 1190625 h 1374775"/>
            <a:gd name="connsiteX4" fmla="*/ 1743075 w 2514600"/>
            <a:gd name="connsiteY4" fmla="*/ 1323975 h 1374775"/>
            <a:gd name="connsiteX5" fmla="*/ 923925 w 2514600"/>
            <a:gd name="connsiteY5" fmla="*/ 962025 h 1374775"/>
            <a:gd name="connsiteX6" fmla="*/ 0 w 2514600"/>
            <a:gd name="connsiteY6" fmla="*/ 523875 h 1374775"/>
            <a:gd name="connsiteX7" fmla="*/ 923925 w 2514600"/>
            <a:gd name="connsiteY7" fmla="*/ 0 h 1374775"/>
            <a:gd name="connsiteX0" fmla="*/ 958850 w 2549525"/>
            <a:gd name="connsiteY0" fmla="*/ 0 h 1374775"/>
            <a:gd name="connsiteX1" fmla="*/ 2549525 w 2549525"/>
            <a:gd name="connsiteY1" fmla="*/ 0 h 1374775"/>
            <a:gd name="connsiteX2" fmla="*/ 2549525 w 2549525"/>
            <a:gd name="connsiteY2" fmla="*/ 962025 h 1374775"/>
            <a:gd name="connsiteX3" fmla="*/ 2320925 w 2549525"/>
            <a:gd name="connsiteY3" fmla="*/ 1190625 h 1374775"/>
            <a:gd name="connsiteX4" fmla="*/ 1778000 w 2549525"/>
            <a:gd name="connsiteY4" fmla="*/ 1323975 h 1374775"/>
            <a:gd name="connsiteX5" fmla="*/ 958850 w 2549525"/>
            <a:gd name="connsiteY5" fmla="*/ 962025 h 1374775"/>
            <a:gd name="connsiteX6" fmla="*/ 34925 w 2549525"/>
            <a:gd name="connsiteY6" fmla="*/ 523875 h 1374775"/>
            <a:gd name="connsiteX7" fmla="*/ 958850 w 2549525"/>
            <a:gd name="connsiteY7" fmla="*/ 0 h 1374775"/>
            <a:gd name="connsiteX0" fmla="*/ 958850 w 2549525"/>
            <a:gd name="connsiteY0" fmla="*/ 0 h 1374775"/>
            <a:gd name="connsiteX1" fmla="*/ 2549525 w 2549525"/>
            <a:gd name="connsiteY1" fmla="*/ 0 h 1374775"/>
            <a:gd name="connsiteX2" fmla="*/ 2549525 w 2549525"/>
            <a:gd name="connsiteY2" fmla="*/ 962025 h 1374775"/>
            <a:gd name="connsiteX3" fmla="*/ 2320925 w 2549525"/>
            <a:gd name="connsiteY3" fmla="*/ 1190625 h 1374775"/>
            <a:gd name="connsiteX4" fmla="*/ 1778000 w 2549525"/>
            <a:gd name="connsiteY4" fmla="*/ 1323975 h 1374775"/>
            <a:gd name="connsiteX5" fmla="*/ 958850 w 2549525"/>
            <a:gd name="connsiteY5" fmla="*/ 962025 h 1374775"/>
            <a:gd name="connsiteX6" fmla="*/ 34925 w 2549525"/>
            <a:gd name="connsiteY6" fmla="*/ 523875 h 1374775"/>
            <a:gd name="connsiteX7" fmla="*/ 958850 w 2549525"/>
            <a:gd name="connsiteY7" fmla="*/ 0 h 1374775"/>
            <a:gd name="connsiteX0" fmla="*/ 958850 w 3721101"/>
            <a:gd name="connsiteY0" fmla="*/ 0 h 1374775"/>
            <a:gd name="connsiteX1" fmla="*/ 2549525 w 3721101"/>
            <a:gd name="connsiteY1" fmla="*/ 0 h 1374775"/>
            <a:gd name="connsiteX2" fmla="*/ 3721101 w 3721101"/>
            <a:gd name="connsiteY2" fmla="*/ 542925 h 1374775"/>
            <a:gd name="connsiteX3" fmla="*/ 2549525 w 3721101"/>
            <a:gd name="connsiteY3" fmla="*/ 962025 h 1374775"/>
            <a:gd name="connsiteX4" fmla="*/ 2320925 w 3721101"/>
            <a:gd name="connsiteY4" fmla="*/ 1190625 h 1374775"/>
            <a:gd name="connsiteX5" fmla="*/ 1778000 w 3721101"/>
            <a:gd name="connsiteY5" fmla="*/ 1323975 h 1374775"/>
            <a:gd name="connsiteX6" fmla="*/ 958850 w 3721101"/>
            <a:gd name="connsiteY6" fmla="*/ 962025 h 1374775"/>
            <a:gd name="connsiteX7" fmla="*/ 34925 w 3721101"/>
            <a:gd name="connsiteY7" fmla="*/ 523875 h 1374775"/>
            <a:gd name="connsiteX8" fmla="*/ 958850 w 3721101"/>
            <a:gd name="connsiteY8" fmla="*/ 0 h 1374775"/>
            <a:gd name="connsiteX0" fmla="*/ 958850 w 3759201"/>
            <a:gd name="connsiteY0" fmla="*/ 0 h 1374775"/>
            <a:gd name="connsiteX1" fmla="*/ 2549525 w 3759201"/>
            <a:gd name="connsiteY1" fmla="*/ 0 h 1374775"/>
            <a:gd name="connsiteX2" fmla="*/ 3721101 w 3759201"/>
            <a:gd name="connsiteY2" fmla="*/ 542925 h 1374775"/>
            <a:gd name="connsiteX3" fmla="*/ 2549525 w 3759201"/>
            <a:gd name="connsiteY3" fmla="*/ 962025 h 1374775"/>
            <a:gd name="connsiteX4" fmla="*/ 2320925 w 3759201"/>
            <a:gd name="connsiteY4" fmla="*/ 1190625 h 1374775"/>
            <a:gd name="connsiteX5" fmla="*/ 1778000 w 3759201"/>
            <a:gd name="connsiteY5" fmla="*/ 1323975 h 1374775"/>
            <a:gd name="connsiteX6" fmla="*/ 958850 w 3759201"/>
            <a:gd name="connsiteY6" fmla="*/ 962025 h 1374775"/>
            <a:gd name="connsiteX7" fmla="*/ 34925 w 3759201"/>
            <a:gd name="connsiteY7" fmla="*/ 523875 h 1374775"/>
            <a:gd name="connsiteX8" fmla="*/ 958850 w 3759201"/>
            <a:gd name="connsiteY8" fmla="*/ 0 h 1374775"/>
            <a:gd name="connsiteX0" fmla="*/ 958850 w 3844926"/>
            <a:gd name="connsiteY0" fmla="*/ 168275 h 1543050"/>
            <a:gd name="connsiteX1" fmla="*/ 2549525 w 3844926"/>
            <a:gd name="connsiteY1" fmla="*/ 168275 h 1543050"/>
            <a:gd name="connsiteX2" fmla="*/ 3721101 w 3844926"/>
            <a:gd name="connsiteY2" fmla="*/ 711200 h 1543050"/>
            <a:gd name="connsiteX3" fmla="*/ 2549525 w 3844926"/>
            <a:gd name="connsiteY3" fmla="*/ 1130300 h 1543050"/>
            <a:gd name="connsiteX4" fmla="*/ 2320925 w 3844926"/>
            <a:gd name="connsiteY4" fmla="*/ 1358900 h 1543050"/>
            <a:gd name="connsiteX5" fmla="*/ 1778000 w 3844926"/>
            <a:gd name="connsiteY5" fmla="*/ 1492250 h 1543050"/>
            <a:gd name="connsiteX6" fmla="*/ 958850 w 3844926"/>
            <a:gd name="connsiteY6" fmla="*/ 1130300 h 1543050"/>
            <a:gd name="connsiteX7" fmla="*/ 34925 w 3844926"/>
            <a:gd name="connsiteY7" fmla="*/ 692150 h 1543050"/>
            <a:gd name="connsiteX8" fmla="*/ 958850 w 3844926"/>
            <a:gd name="connsiteY8" fmla="*/ 168275 h 1543050"/>
            <a:gd name="connsiteX0" fmla="*/ 958850 w 3844926"/>
            <a:gd name="connsiteY0" fmla="*/ 209550 h 1584325"/>
            <a:gd name="connsiteX1" fmla="*/ 1701800 w 3844926"/>
            <a:gd name="connsiteY1" fmla="*/ 0 h 1584325"/>
            <a:gd name="connsiteX2" fmla="*/ 2549525 w 3844926"/>
            <a:gd name="connsiteY2" fmla="*/ 209550 h 1584325"/>
            <a:gd name="connsiteX3" fmla="*/ 3721101 w 3844926"/>
            <a:gd name="connsiteY3" fmla="*/ 752475 h 1584325"/>
            <a:gd name="connsiteX4" fmla="*/ 2549525 w 3844926"/>
            <a:gd name="connsiteY4" fmla="*/ 1171575 h 1584325"/>
            <a:gd name="connsiteX5" fmla="*/ 2320925 w 3844926"/>
            <a:gd name="connsiteY5" fmla="*/ 1400175 h 1584325"/>
            <a:gd name="connsiteX6" fmla="*/ 1778000 w 3844926"/>
            <a:gd name="connsiteY6" fmla="*/ 1533525 h 1584325"/>
            <a:gd name="connsiteX7" fmla="*/ 958850 w 3844926"/>
            <a:gd name="connsiteY7" fmla="*/ 1171575 h 1584325"/>
            <a:gd name="connsiteX8" fmla="*/ 34925 w 3844926"/>
            <a:gd name="connsiteY8" fmla="*/ 733425 h 1584325"/>
            <a:gd name="connsiteX9" fmla="*/ 958850 w 3844926"/>
            <a:gd name="connsiteY9" fmla="*/ 209550 h 1584325"/>
            <a:gd name="connsiteX0" fmla="*/ 958850 w 3844926"/>
            <a:gd name="connsiteY0" fmla="*/ 209550 h 1584325"/>
            <a:gd name="connsiteX1" fmla="*/ 1701800 w 3844926"/>
            <a:gd name="connsiteY1" fmla="*/ 0 h 1584325"/>
            <a:gd name="connsiteX2" fmla="*/ 2549525 w 3844926"/>
            <a:gd name="connsiteY2" fmla="*/ 209550 h 1584325"/>
            <a:gd name="connsiteX3" fmla="*/ 3721101 w 3844926"/>
            <a:gd name="connsiteY3" fmla="*/ 752475 h 1584325"/>
            <a:gd name="connsiteX4" fmla="*/ 2549525 w 3844926"/>
            <a:gd name="connsiteY4" fmla="*/ 1171575 h 1584325"/>
            <a:gd name="connsiteX5" fmla="*/ 2320925 w 3844926"/>
            <a:gd name="connsiteY5" fmla="*/ 1400175 h 1584325"/>
            <a:gd name="connsiteX6" fmla="*/ 1778000 w 3844926"/>
            <a:gd name="connsiteY6" fmla="*/ 1533525 h 1584325"/>
            <a:gd name="connsiteX7" fmla="*/ 958850 w 3844926"/>
            <a:gd name="connsiteY7" fmla="*/ 1171575 h 1584325"/>
            <a:gd name="connsiteX8" fmla="*/ 34925 w 3844926"/>
            <a:gd name="connsiteY8" fmla="*/ 733425 h 1584325"/>
            <a:gd name="connsiteX9" fmla="*/ 958850 w 3844926"/>
            <a:gd name="connsiteY9" fmla="*/ 209550 h 1584325"/>
            <a:gd name="connsiteX0" fmla="*/ 958850 w 3844926"/>
            <a:gd name="connsiteY0" fmla="*/ 234950 h 1609725"/>
            <a:gd name="connsiteX1" fmla="*/ 1701800 w 3844926"/>
            <a:gd name="connsiteY1" fmla="*/ 25400 h 1609725"/>
            <a:gd name="connsiteX2" fmla="*/ 2549525 w 3844926"/>
            <a:gd name="connsiteY2" fmla="*/ 234950 h 1609725"/>
            <a:gd name="connsiteX3" fmla="*/ 3721101 w 3844926"/>
            <a:gd name="connsiteY3" fmla="*/ 777875 h 1609725"/>
            <a:gd name="connsiteX4" fmla="*/ 2549525 w 3844926"/>
            <a:gd name="connsiteY4" fmla="*/ 1196975 h 1609725"/>
            <a:gd name="connsiteX5" fmla="*/ 2320925 w 3844926"/>
            <a:gd name="connsiteY5" fmla="*/ 1425575 h 1609725"/>
            <a:gd name="connsiteX6" fmla="*/ 1778000 w 3844926"/>
            <a:gd name="connsiteY6" fmla="*/ 1558925 h 1609725"/>
            <a:gd name="connsiteX7" fmla="*/ 958850 w 3844926"/>
            <a:gd name="connsiteY7" fmla="*/ 1196975 h 1609725"/>
            <a:gd name="connsiteX8" fmla="*/ 34925 w 3844926"/>
            <a:gd name="connsiteY8" fmla="*/ 758825 h 1609725"/>
            <a:gd name="connsiteX9" fmla="*/ 958850 w 3844926"/>
            <a:gd name="connsiteY9" fmla="*/ 234950 h 1609725"/>
            <a:gd name="connsiteX0" fmla="*/ 958850 w 3844926"/>
            <a:gd name="connsiteY0" fmla="*/ 234950 h 1584325"/>
            <a:gd name="connsiteX1" fmla="*/ 1701800 w 3844926"/>
            <a:gd name="connsiteY1" fmla="*/ 25400 h 1584325"/>
            <a:gd name="connsiteX2" fmla="*/ 2549525 w 3844926"/>
            <a:gd name="connsiteY2" fmla="*/ 234950 h 1584325"/>
            <a:gd name="connsiteX3" fmla="*/ 3721101 w 3844926"/>
            <a:gd name="connsiteY3" fmla="*/ 777875 h 1584325"/>
            <a:gd name="connsiteX4" fmla="*/ 2549525 w 3844926"/>
            <a:gd name="connsiteY4" fmla="*/ 1196975 h 1584325"/>
            <a:gd name="connsiteX5" fmla="*/ 2320925 w 3844926"/>
            <a:gd name="connsiteY5" fmla="*/ 1425575 h 1584325"/>
            <a:gd name="connsiteX6" fmla="*/ 1768475 w 3844926"/>
            <a:gd name="connsiteY6" fmla="*/ 1187450 h 1584325"/>
            <a:gd name="connsiteX7" fmla="*/ 958850 w 3844926"/>
            <a:gd name="connsiteY7" fmla="*/ 1196975 h 1584325"/>
            <a:gd name="connsiteX8" fmla="*/ 34925 w 3844926"/>
            <a:gd name="connsiteY8" fmla="*/ 758825 h 1584325"/>
            <a:gd name="connsiteX9" fmla="*/ 958850 w 3844926"/>
            <a:gd name="connsiteY9" fmla="*/ 234950 h 1584325"/>
            <a:gd name="connsiteX0" fmla="*/ 958850 w 3844926"/>
            <a:gd name="connsiteY0" fmla="*/ 234950 h 1355725"/>
            <a:gd name="connsiteX1" fmla="*/ 1701800 w 3844926"/>
            <a:gd name="connsiteY1" fmla="*/ 25400 h 1355725"/>
            <a:gd name="connsiteX2" fmla="*/ 2549525 w 3844926"/>
            <a:gd name="connsiteY2" fmla="*/ 234950 h 1355725"/>
            <a:gd name="connsiteX3" fmla="*/ 3721101 w 3844926"/>
            <a:gd name="connsiteY3" fmla="*/ 777875 h 1355725"/>
            <a:gd name="connsiteX4" fmla="*/ 2549525 w 3844926"/>
            <a:gd name="connsiteY4" fmla="*/ 1196975 h 1355725"/>
            <a:gd name="connsiteX5" fmla="*/ 2301875 w 3844926"/>
            <a:gd name="connsiteY5" fmla="*/ 1196975 h 1355725"/>
            <a:gd name="connsiteX6" fmla="*/ 1768475 w 3844926"/>
            <a:gd name="connsiteY6" fmla="*/ 1187450 h 1355725"/>
            <a:gd name="connsiteX7" fmla="*/ 958850 w 3844926"/>
            <a:gd name="connsiteY7" fmla="*/ 1196975 h 1355725"/>
            <a:gd name="connsiteX8" fmla="*/ 34925 w 3844926"/>
            <a:gd name="connsiteY8" fmla="*/ 758825 h 1355725"/>
            <a:gd name="connsiteX9" fmla="*/ 958850 w 3844926"/>
            <a:gd name="connsiteY9" fmla="*/ 234950 h 1355725"/>
            <a:gd name="connsiteX0" fmla="*/ 958850 w 3844926"/>
            <a:gd name="connsiteY0" fmla="*/ 234950 h 1355725"/>
            <a:gd name="connsiteX1" fmla="*/ 1701800 w 3844926"/>
            <a:gd name="connsiteY1" fmla="*/ 25400 h 1355725"/>
            <a:gd name="connsiteX2" fmla="*/ 2549525 w 3844926"/>
            <a:gd name="connsiteY2" fmla="*/ 234950 h 1355725"/>
            <a:gd name="connsiteX3" fmla="*/ 3721101 w 3844926"/>
            <a:gd name="connsiteY3" fmla="*/ 777875 h 1355725"/>
            <a:gd name="connsiteX4" fmla="*/ 2549525 w 3844926"/>
            <a:gd name="connsiteY4" fmla="*/ 1196975 h 1355725"/>
            <a:gd name="connsiteX5" fmla="*/ 2301875 w 3844926"/>
            <a:gd name="connsiteY5" fmla="*/ 1196975 h 1355725"/>
            <a:gd name="connsiteX6" fmla="*/ 1768475 w 3844926"/>
            <a:gd name="connsiteY6" fmla="*/ 1187450 h 1355725"/>
            <a:gd name="connsiteX7" fmla="*/ 958850 w 3844926"/>
            <a:gd name="connsiteY7" fmla="*/ 1196975 h 1355725"/>
            <a:gd name="connsiteX8" fmla="*/ 34925 w 3844926"/>
            <a:gd name="connsiteY8" fmla="*/ 758825 h 1355725"/>
            <a:gd name="connsiteX9" fmla="*/ 958850 w 3844926"/>
            <a:gd name="connsiteY9" fmla="*/ 234950 h 1355725"/>
            <a:gd name="connsiteX0" fmla="*/ 958850 w 3844926"/>
            <a:gd name="connsiteY0" fmla="*/ 234950 h 1355725"/>
            <a:gd name="connsiteX1" fmla="*/ 1701800 w 3844926"/>
            <a:gd name="connsiteY1" fmla="*/ 25400 h 1355725"/>
            <a:gd name="connsiteX2" fmla="*/ 2549525 w 3844926"/>
            <a:gd name="connsiteY2" fmla="*/ 234950 h 1355725"/>
            <a:gd name="connsiteX3" fmla="*/ 3721101 w 3844926"/>
            <a:gd name="connsiteY3" fmla="*/ 777875 h 1355725"/>
            <a:gd name="connsiteX4" fmla="*/ 2549525 w 3844926"/>
            <a:gd name="connsiteY4" fmla="*/ 1149350 h 1355725"/>
            <a:gd name="connsiteX5" fmla="*/ 2301875 w 3844926"/>
            <a:gd name="connsiteY5" fmla="*/ 1196975 h 1355725"/>
            <a:gd name="connsiteX6" fmla="*/ 1768475 w 3844926"/>
            <a:gd name="connsiteY6" fmla="*/ 1187450 h 1355725"/>
            <a:gd name="connsiteX7" fmla="*/ 958850 w 3844926"/>
            <a:gd name="connsiteY7" fmla="*/ 1196975 h 1355725"/>
            <a:gd name="connsiteX8" fmla="*/ 34925 w 3844926"/>
            <a:gd name="connsiteY8" fmla="*/ 758825 h 1355725"/>
            <a:gd name="connsiteX9" fmla="*/ 958850 w 3844926"/>
            <a:gd name="connsiteY9" fmla="*/ 234950 h 13557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</a:cxnLst>
          <a:rect l="l" t="t" r="r" b="b"/>
          <a:pathLst>
            <a:path w="3844926" h="1355725">
              <a:moveTo>
                <a:pt x="958850" y="234950"/>
              </a:moveTo>
              <a:cubicBezTo>
                <a:pt x="1206500" y="165100"/>
                <a:pt x="1368425" y="28575"/>
                <a:pt x="1701800" y="25400"/>
              </a:cubicBezTo>
              <a:cubicBezTo>
                <a:pt x="2146300" y="0"/>
                <a:pt x="2266950" y="165100"/>
                <a:pt x="2549525" y="234950"/>
              </a:cubicBezTo>
              <a:cubicBezTo>
                <a:pt x="2549525" y="393700"/>
                <a:pt x="3844926" y="66675"/>
                <a:pt x="3721101" y="777875"/>
              </a:cubicBezTo>
              <a:cubicBezTo>
                <a:pt x="3759201" y="1235075"/>
                <a:pt x="2549525" y="987425"/>
                <a:pt x="2549525" y="1149350"/>
              </a:cubicBezTo>
              <a:cubicBezTo>
                <a:pt x="2473325" y="1225550"/>
                <a:pt x="2520950" y="1120775"/>
                <a:pt x="2301875" y="1196975"/>
              </a:cubicBezTo>
              <a:cubicBezTo>
                <a:pt x="2197100" y="1355725"/>
                <a:pt x="1949450" y="1143000"/>
                <a:pt x="1768475" y="1187450"/>
              </a:cubicBezTo>
              <a:cubicBezTo>
                <a:pt x="1323975" y="1238250"/>
                <a:pt x="1231900" y="1317625"/>
                <a:pt x="958850" y="1196975"/>
              </a:cubicBezTo>
              <a:cubicBezTo>
                <a:pt x="650875" y="1050925"/>
                <a:pt x="0" y="1304925"/>
                <a:pt x="34925" y="758825"/>
              </a:cubicBezTo>
              <a:cubicBezTo>
                <a:pt x="0" y="336550"/>
                <a:pt x="650875" y="409575"/>
                <a:pt x="958850" y="234950"/>
              </a:cubicBezTo>
              <a:close/>
            </a:path>
          </a:pathLst>
        </a:custGeom>
        <a:solidFill>
          <a:srgbClr val="EAF1DD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NZ" sz="1100"/>
            <a:t>R</a:t>
          </a:r>
        </a:p>
      </xdr:txBody>
    </xdr:sp>
    <xdr:clientData/>
  </xdr:twoCellAnchor>
  <xdr:twoCellAnchor>
    <xdr:from>
      <xdr:col>29</xdr:col>
      <xdr:colOff>1260323</xdr:colOff>
      <xdr:row>20</xdr:row>
      <xdr:rowOff>45797</xdr:rowOff>
    </xdr:from>
    <xdr:to>
      <xdr:col>29</xdr:col>
      <xdr:colOff>1281420</xdr:colOff>
      <xdr:row>21</xdr:row>
      <xdr:rowOff>136377</xdr:rowOff>
    </xdr:to>
    <xdr:cxnSp macro="">
      <xdr:nvCxnSpPr>
        <xdr:cNvPr id="265" name="Straight Arrow Connector 264"/>
        <xdr:cNvCxnSpPr/>
      </xdr:nvCxnSpPr>
      <xdr:spPr>
        <a:xfrm rot="5400000">
          <a:off x="37712477" y="3859813"/>
          <a:ext cx="274935" cy="2109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1007158</xdr:colOff>
      <xdr:row>23</xdr:row>
      <xdr:rowOff>129313</xdr:rowOff>
    </xdr:from>
    <xdr:to>
      <xdr:col>30</xdr:col>
      <xdr:colOff>239287</xdr:colOff>
      <xdr:row>24</xdr:row>
      <xdr:rowOff>99344</xdr:rowOff>
    </xdr:to>
    <xdr:cxnSp macro="">
      <xdr:nvCxnSpPr>
        <xdr:cNvPr id="266" name="Straight Arrow Connector 265"/>
        <xdr:cNvCxnSpPr/>
      </xdr:nvCxnSpPr>
      <xdr:spPr>
        <a:xfrm>
          <a:off x="37586231" y="4369474"/>
          <a:ext cx="537975" cy="154386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31</xdr:col>
      <xdr:colOff>682014</xdr:colOff>
      <xdr:row>19</xdr:row>
      <xdr:rowOff>129691</xdr:rowOff>
    </xdr:from>
    <xdr:to>
      <xdr:col>31</xdr:col>
      <xdr:colOff>1146148</xdr:colOff>
      <xdr:row>21</xdr:row>
      <xdr:rowOff>125800</xdr:rowOff>
    </xdr:to>
    <xdr:cxnSp macro="">
      <xdr:nvCxnSpPr>
        <xdr:cNvPr id="267" name="Straight Arrow Connector 266"/>
        <xdr:cNvCxnSpPr/>
      </xdr:nvCxnSpPr>
      <xdr:spPr>
        <a:xfrm>
          <a:off x="39734514" y="3632433"/>
          <a:ext cx="464134" cy="364819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527402</xdr:colOff>
      <xdr:row>23</xdr:row>
      <xdr:rowOff>129312</xdr:rowOff>
    </xdr:from>
    <xdr:to>
      <xdr:col>31</xdr:col>
      <xdr:colOff>871887</xdr:colOff>
      <xdr:row>24</xdr:row>
      <xdr:rowOff>146929</xdr:rowOff>
    </xdr:to>
    <xdr:cxnSp macro="">
      <xdr:nvCxnSpPr>
        <xdr:cNvPr id="268" name="Straight Arrow Connector 267"/>
        <xdr:cNvCxnSpPr/>
      </xdr:nvCxnSpPr>
      <xdr:spPr>
        <a:xfrm rot="10800000" flipV="1">
          <a:off x="39579902" y="4369473"/>
          <a:ext cx="344485" cy="201972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1058907</xdr:colOff>
      <xdr:row>25</xdr:row>
      <xdr:rowOff>101100</xdr:rowOff>
    </xdr:from>
    <xdr:to>
      <xdr:col>30</xdr:col>
      <xdr:colOff>1090553</xdr:colOff>
      <xdr:row>26</xdr:row>
      <xdr:rowOff>171589</xdr:rowOff>
    </xdr:to>
    <xdr:cxnSp macro="">
      <xdr:nvCxnSpPr>
        <xdr:cNvPr id="269" name="Straight Arrow Connector 268"/>
        <xdr:cNvCxnSpPr/>
      </xdr:nvCxnSpPr>
      <xdr:spPr>
        <a:xfrm rot="16200000" flipH="1">
          <a:off x="38832227" y="4821570"/>
          <a:ext cx="254844" cy="31646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1049352</xdr:colOff>
      <xdr:row>27</xdr:row>
      <xdr:rowOff>29533</xdr:rowOff>
    </xdr:from>
    <xdr:to>
      <xdr:col>30</xdr:col>
      <xdr:colOff>144350</xdr:colOff>
      <xdr:row>27</xdr:row>
      <xdr:rowOff>57026</xdr:rowOff>
    </xdr:to>
    <xdr:cxnSp macro="">
      <xdr:nvCxnSpPr>
        <xdr:cNvPr id="270" name="Straight Arrow Connector 269"/>
        <xdr:cNvCxnSpPr/>
      </xdr:nvCxnSpPr>
      <xdr:spPr>
        <a:xfrm>
          <a:off x="37628425" y="5007114"/>
          <a:ext cx="400844" cy="2749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819146</xdr:colOff>
      <xdr:row>26</xdr:row>
      <xdr:rowOff>182164</xdr:rowOff>
    </xdr:from>
    <xdr:to>
      <xdr:col>31</xdr:col>
      <xdr:colOff>1114504</xdr:colOff>
      <xdr:row>28</xdr:row>
      <xdr:rowOff>64069</xdr:rowOff>
    </xdr:to>
    <xdr:cxnSp macro="">
      <xdr:nvCxnSpPr>
        <xdr:cNvPr id="271" name="Straight Arrow Connector 270"/>
        <xdr:cNvCxnSpPr/>
      </xdr:nvCxnSpPr>
      <xdr:spPr>
        <a:xfrm rot="10800000" flipV="1">
          <a:off x="39871646" y="4975390"/>
          <a:ext cx="295358" cy="250614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878790</xdr:colOff>
      <xdr:row>28</xdr:row>
      <xdr:rowOff>43715</xdr:rowOff>
    </xdr:from>
    <xdr:to>
      <xdr:col>30</xdr:col>
      <xdr:colOff>880373</xdr:colOff>
      <xdr:row>29</xdr:row>
      <xdr:rowOff>161789</xdr:rowOff>
    </xdr:to>
    <xdr:cxnSp macro="">
      <xdr:nvCxnSpPr>
        <xdr:cNvPr id="272" name="Straight Arrow Connector 271"/>
        <xdr:cNvCxnSpPr/>
      </xdr:nvCxnSpPr>
      <xdr:spPr>
        <a:xfrm rot="5400000">
          <a:off x="38613286" y="5356073"/>
          <a:ext cx="302429" cy="158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826025</xdr:colOff>
      <xdr:row>31</xdr:row>
      <xdr:rowOff>122209</xdr:rowOff>
    </xdr:from>
    <xdr:to>
      <xdr:col>29</xdr:col>
      <xdr:colOff>1270871</xdr:colOff>
      <xdr:row>31</xdr:row>
      <xdr:rowOff>123796</xdr:rowOff>
    </xdr:to>
    <xdr:cxnSp macro="">
      <xdr:nvCxnSpPr>
        <xdr:cNvPr id="273" name="Straight Arrow Connector 272"/>
        <xdr:cNvCxnSpPr/>
      </xdr:nvCxnSpPr>
      <xdr:spPr>
        <a:xfrm>
          <a:off x="37405098" y="5837209"/>
          <a:ext cx="444846" cy="158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31</xdr:col>
      <xdr:colOff>604217</xdr:colOff>
      <xdr:row>28</xdr:row>
      <xdr:rowOff>26795</xdr:rowOff>
    </xdr:from>
    <xdr:to>
      <xdr:col>31</xdr:col>
      <xdr:colOff>605800</xdr:colOff>
      <xdr:row>29</xdr:row>
      <xdr:rowOff>140641</xdr:rowOff>
    </xdr:to>
    <xdr:cxnSp macro="">
      <xdr:nvCxnSpPr>
        <xdr:cNvPr id="274" name="Straight Arrow Connector 273"/>
        <xdr:cNvCxnSpPr/>
      </xdr:nvCxnSpPr>
      <xdr:spPr>
        <a:xfrm rot="5400000">
          <a:off x="39508408" y="5337039"/>
          <a:ext cx="298201" cy="158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647514</xdr:colOff>
      <xdr:row>32</xdr:row>
      <xdr:rowOff>39369</xdr:rowOff>
    </xdr:from>
    <xdr:to>
      <xdr:col>30</xdr:col>
      <xdr:colOff>668611</xdr:colOff>
      <xdr:row>34</xdr:row>
      <xdr:rowOff>111614</xdr:rowOff>
    </xdr:to>
    <xdr:cxnSp macro="">
      <xdr:nvCxnSpPr>
        <xdr:cNvPr id="275" name="Straight Arrow Connector 274"/>
        <xdr:cNvCxnSpPr/>
      </xdr:nvCxnSpPr>
      <xdr:spPr>
        <a:xfrm rot="16200000" flipH="1">
          <a:off x="38322504" y="6148653"/>
          <a:ext cx="440955" cy="2109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1049352</xdr:colOff>
      <xdr:row>35</xdr:row>
      <xdr:rowOff>97508</xdr:rowOff>
    </xdr:from>
    <xdr:to>
      <xdr:col>30</xdr:col>
      <xdr:colOff>81059</xdr:colOff>
      <xdr:row>35</xdr:row>
      <xdr:rowOff>108082</xdr:rowOff>
    </xdr:to>
    <xdr:cxnSp macro="">
      <xdr:nvCxnSpPr>
        <xdr:cNvPr id="276" name="Straight Arrow Connector 275"/>
        <xdr:cNvCxnSpPr/>
      </xdr:nvCxnSpPr>
      <xdr:spPr>
        <a:xfrm>
          <a:off x="37628425" y="6549927"/>
          <a:ext cx="337553" cy="10574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1048358</xdr:colOff>
      <xdr:row>35</xdr:row>
      <xdr:rowOff>86933</xdr:rowOff>
    </xdr:from>
    <xdr:to>
      <xdr:col>31</xdr:col>
      <xdr:colOff>432466</xdr:colOff>
      <xdr:row>35</xdr:row>
      <xdr:rowOff>129231</xdr:rowOff>
    </xdr:to>
    <xdr:cxnSp macro="">
      <xdr:nvCxnSpPr>
        <xdr:cNvPr id="277" name="Straight Arrow Connector 276"/>
        <xdr:cNvCxnSpPr/>
      </xdr:nvCxnSpPr>
      <xdr:spPr>
        <a:xfrm rot="10800000" flipV="1">
          <a:off x="38933277" y="6539352"/>
          <a:ext cx="551689" cy="4229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678368</xdr:colOff>
      <xdr:row>36</xdr:row>
      <xdr:rowOff>57759</xdr:rowOff>
    </xdr:from>
    <xdr:to>
      <xdr:col>30</xdr:col>
      <xdr:colOff>679951</xdr:colOff>
      <xdr:row>38</xdr:row>
      <xdr:rowOff>6284</xdr:rowOff>
    </xdr:to>
    <xdr:cxnSp macro="">
      <xdr:nvCxnSpPr>
        <xdr:cNvPr id="278" name="Straight Arrow Connector 277"/>
        <xdr:cNvCxnSpPr/>
      </xdr:nvCxnSpPr>
      <xdr:spPr>
        <a:xfrm rot="5400000">
          <a:off x="38405461" y="6852359"/>
          <a:ext cx="317235" cy="158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980787</xdr:colOff>
      <xdr:row>38</xdr:row>
      <xdr:rowOff>158820</xdr:rowOff>
    </xdr:from>
    <xdr:to>
      <xdr:col>30</xdr:col>
      <xdr:colOff>102156</xdr:colOff>
      <xdr:row>38</xdr:row>
      <xdr:rowOff>160407</xdr:rowOff>
    </xdr:to>
    <xdr:cxnSp macro="">
      <xdr:nvCxnSpPr>
        <xdr:cNvPr id="279" name="Straight Arrow Connector 278"/>
        <xdr:cNvCxnSpPr/>
      </xdr:nvCxnSpPr>
      <xdr:spPr>
        <a:xfrm>
          <a:off x="37559860" y="7164304"/>
          <a:ext cx="427215" cy="158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911229</xdr:colOff>
      <xdr:row>38</xdr:row>
      <xdr:rowOff>127096</xdr:rowOff>
    </xdr:from>
    <xdr:to>
      <xdr:col>31</xdr:col>
      <xdr:colOff>221496</xdr:colOff>
      <xdr:row>39</xdr:row>
      <xdr:rowOff>6188</xdr:rowOff>
    </xdr:to>
    <xdr:cxnSp macro="">
      <xdr:nvCxnSpPr>
        <xdr:cNvPr id="280" name="Straight Arrow Connector 279"/>
        <xdr:cNvCxnSpPr/>
      </xdr:nvCxnSpPr>
      <xdr:spPr>
        <a:xfrm rot="10800000" flipV="1">
          <a:off x="38796148" y="7132580"/>
          <a:ext cx="477848" cy="6344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340792</xdr:colOff>
      <xdr:row>39</xdr:row>
      <xdr:rowOff>117219</xdr:rowOff>
    </xdr:from>
    <xdr:to>
      <xdr:col>29</xdr:col>
      <xdr:colOff>361889</xdr:colOff>
      <xdr:row>42</xdr:row>
      <xdr:rowOff>66442</xdr:rowOff>
    </xdr:to>
    <xdr:cxnSp macro="">
      <xdr:nvCxnSpPr>
        <xdr:cNvPr id="281" name="Straight Arrow Connector 280"/>
        <xdr:cNvCxnSpPr/>
      </xdr:nvCxnSpPr>
      <xdr:spPr>
        <a:xfrm rot="16200000" flipH="1">
          <a:off x="36679270" y="7547653"/>
          <a:ext cx="502287" cy="2109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996610</xdr:colOff>
      <xdr:row>43</xdr:row>
      <xdr:rowOff>45992</xdr:rowOff>
    </xdr:from>
    <xdr:to>
      <xdr:col>30</xdr:col>
      <xdr:colOff>59962</xdr:colOff>
      <xdr:row>43</xdr:row>
      <xdr:rowOff>47579</xdr:rowOff>
    </xdr:to>
    <xdr:cxnSp macro="">
      <xdr:nvCxnSpPr>
        <xdr:cNvPr id="282" name="Straight Arrow Connector 281"/>
        <xdr:cNvCxnSpPr/>
      </xdr:nvCxnSpPr>
      <xdr:spPr>
        <a:xfrm>
          <a:off x="37575683" y="7973250"/>
          <a:ext cx="369198" cy="158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1038804</xdr:colOff>
      <xdr:row>47</xdr:row>
      <xdr:rowOff>17061</xdr:rowOff>
    </xdr:from>
    <xdr:to>
      <xdr:col>30</xdr:col>
      <xdr:colOff>154899</xdr:colOff>
      <xdr:row>47</xdr:row>
      <xdr:rowOff>18648</xdr:rowOff>
    </xdr:to>
    <xdr:cxnSp macro="">
      <xdr:nvCxnSpPr>
        <xdr:cNvPr id="283" name="Straight Arrow Connector 282"/>
        <xdr:cNvCxnSpPr/>
      </xdr:nvCxnSpPr>
      <xdr:spPr>
        <a:xfrm>
          <a:off x="37617877" y="8681738"/>
          <a:ext cx="421941" cy="158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794379</xdr:colOff>
      <xdr:row>48</xdr:row>
      <xdr:rowOff>181663</xdr:rowOff>
    </xdr:from>
    <xdr:to>
      <xdr:col>29</xdr:col>
      <xdr:colOff>1133740</xdr:colOff>
      <xdr:row>50</xdr:row>
      <xdr:rowOff>130187</xdr:rowOff>
    </xdr:to>
    <xdr:cxnSp macro="">
      <xdr:nvCxnSpPr>
        <xdr:cNvPr id="284" name="Straight Arrow Connector 283"/>
        <xdr:cNvCxnSpPr/>
      </xdr:nvCxnSpPr>
      <xdr:spPr>
        <a:xfrm>
          <a:off x="37373452" y="9030695"/>
          <a:ext cx="339361" cy="317234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147755</xdr:colOff>
      <xdr:row>51</xdr:row>
      <xdr:rowOff>183757</xdr:rowOff>
    </xdr:from>
    <xdr:to>
      <xdr:col>29</xdr:col>
      <xdr:colOff>189950</xdr:colOff>
      <xdr:row>53</xdr:row>
      <xdr:rowOff>174579</xdr:rowOff>
    </xdr:to>
    <xdr:cxnSp macro="">
      <xdr:nvCxnSpPr>
        <xdr:cNvPr id="285" name="Straight Arrow Connector 284"/>
        <xdr:cNvCxnSpPr/>
      </xdr:nvCxnSpPr>
      <xdr:spPr>
        <a:xfrm rot="16200000" flipH="1">
          <a:off x="36568160" y="9744522"/>
          <a:ext cx="359531" cy="4219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942873</xdr:colOff>
      <xdr:row>42</xdr:row>
      <xdr:rowOff>87589</xdr:rowOff>
    </xdr:from>
    <xdr:to>
      <xdr:col>31</xdr:col>
      <xdr:colOff>253140</xdr:colOff>
      <xdr:row>42</xdr:row>
      <xdr:rowOff>108738</xdr:rowOff>
    </xdr:to>
    <xdr:cxnSp macro="">
      <xdr:nvCxnSpPr>
        <xdr:cNvPr id="286" name="Straight Arrow Connector 285"/>
        <xdr:cNvCxnSpPr/>
      </xdr:nvCxnSpPr>
      <xdr:spPr>
        <a:xfrm rot="10800000" flipV="1">
          <a:off x="38827792" y="7830492"/>
          <a:ext cx="477848" cy="21149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562336</xdr:colOff>
      <xdr:row>39</xdr:row>
      <xdr:rowOff>139160</xdr:rowOff>
    </xdr:from>
    <xdr:to>
      <xdr:col>30</xdr:col>
      <xdr:colOff>563919</xdr:colOff>
      <xdr:row>41</xdr:row>
      <xdr:rowOff>98260</xdr:rowOff>
    </xdr:to>
    <xdr:cxnSp macro="">
      <xdr:nvCxnSpPr>
        <xdr:cNvPr id="287" name="Straight Arrow Connector 286"/>
        <xdr:cNvCxnSpPr/>
      </xdr:nvCxnSpPr>
      <xdr:spPr>
        <a:xfrm rot="5400000">
          <a:off x="38284142" y="7492112"/>
          <a:ext cx="327809" cy="158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1058907</xdr:colOff>
      <xdr:row>46</xdr:row>
      <xdr:rowOff>180265</xdr:rowOff>
    </xdr:from>
    <xdr:to>
      <xdr:col>31</xdr:col>
      <xdr:colOff>295334</xdr:colOff>
      <xdr:row>47</xdr:row>
      <xdr:rowOff>48784</xdr:rowOff>
    </xdr:to>
    <xdr:cxnSp macro="">
      <xdr:nvCxnSpPr>
        <xdr:cNvPr id="288" name="Straight Arrow Connector 287"/>
        <xdr:cNvCxnSpPr/>
      </xdr:nvCxnSpPr>
      <xdr:spPr>
        <a:xfrm rot="10800000" flipV="1">
          <a:off x="38943826" y="8660588"/>
          <a:ext cx="404008" cy="5287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699467</xdr:colOff>
      <xdr:row>49</xdr:row>
      <xdr:rowOff>29824</xdr:rowOff>
    </xdr:from>
    <xdr:to>
      <xdr:col>30</xdr:col>
      <xdr:colOff>701050</xdr:colOff>
      <xdr:row>51</xdr:row>
      <xdr:rowOff>173976</xdr:rowOff>
    </xdr:to>
    <xdr:cxnSp macro="">
      <xdr:nvCxnSpPr>
        <xdr:cNvPr id="289" name="Straight Arrow Connector 288"/>
        <xdr:cNvCxnSpPr/>
      </xdr:nvCxnSpPr>
      <xdr:spPr>
        <a:xfrm rot="5400000">
          <a:off x="38328747" y="9318850"/>
          <a:ext cx="512862" cy="158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773305</xdr:colOff>
      <xdr:row>53</xdr:row>
      <xdr:rowOff>122501</xdr:rowOff>
    </xdr:from>
    <xdr:to>
      <xdr:col>30</xdr:col>
      <xdr:colOff>774888</xdr:colOff>
      <xdr:row>55</xdr:row>
      <xdr:rowOff>34015</xdr:rowOff>
    </xdr:to>
    <xdr:cxnSp macro="">
      <xdr:nvCxnSpPr>
        <xdr:cNvPr id="290" name="Straight Arrow Connector 289"/>
        <xdr:cNvCxnSpPr/>
      </xdr:nvCxnSpPr>
      <xdr:spPr>
        <a:xfrm rot="5400000">
          <a:off x="38518904" y="10032627"/>
          <a:ext cx="280224" cy="1583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774099</xdr:colOff>
      <xdr:row>57</xdr:row>
      <xdr:rowOff>24041</xdr:rowOff>
    </xdr:from>
    <xdr:to>
      <xdr:col>30</xdr:col>
      <xdr:colOff>784647</xdr:colOff>
      <xdr:row>59</xdr:row>
      <xdr:rowOff>47645</xdr:rowOff>
    </xdr:to>
    <xdr:cxnSp macro="">
      <xdr:nvCxnSpPr>
        <xdr:cNvPr id="291" name="Straight Arrow Connector 290"/>
        <xdr:cNvCxnSpPr/>
      </xdr:nvCxnSpPr>
      <xdr:spPr>
        <a:xfrm rot="5400000">
          <a:off x="38468135" y="10723150"/>
          <a:ext cx="392313" cy="1054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763548</xdr:colOff>
      <xdr:row>62</xdr:row>
      <xdr:rowOff>15902</xdr:rowOff>
    </xdr:from>
    <xdr:to>
      <xdr:col>30</xdr:col>
      <xdr:colOff>795194</xdr:colOff>
      <xdr:row>64</xdr:row>
      <xdr:rowOff>29988</xdr:rowOff>
    </xdr:to>
    <xdr:cxnSp macro="">
      <xdr:nvCxnSpPr>
        <xdr:cNvPr id="292" name="Straight Arrow Connector 291"/>
        <xdr:cNvCxnSpPr/>
      </xdr:nvCxnSpPr>
      <xdr:spPr>
        <a:xfrm rot="5400000">
          <a:off x="38472892" y="11621477"/>
          <a:ext cx="382796" cy="31646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1112643</xdr:colOff>
      <xdr:row>56</xdr:row>
      <xdr:rowOff>60354</xdr:rowOff>
    </xdr:from>
    <xdr:to>
      <xdr:col>30</xdr:col>
      <xdr:colOff>197093</xdr:colOff>
      <xdr:row>56</xdr:row>
      <xdr:rowOff>70929</xdr:rowOff>
    </xdr:to>
    <xdr:cxnSp macro="">
      <xdr:nvCxnSpPr>
        <xdr:cNvPr id="293" name="Straight Arrow Connector 292"/>
        <xdr:cNvCxnSpPr/>
      </xdr:nvCxnSpPr>
      <xdr:spPr>
        <a:xfrm>
          <a:off x="37691716" y="10384225"/>
          <a:ext cx="390296" cy="1057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1144288</xdr:colOff>
      <xdr:row>60</xdr:row>
      <xdr:rowOff>22966</xdr:rowOff>
    </xdr:from>
    <xdr:to>
      <xdr:col>30</xdr:col>
      <xdr:colOff>144350</xdr:colOff>
      <xdr:row>60</xdr:row>
      <xdr:rowOff>24553</xdr:rowOff>
    </xdr:to>
    <xdr:cxnSp macro="">
      <xdr:nvCxnSpPr>
        <xdr:cNvPr id="294" name="Straight Arrow Connector 293"/>
        <xdr:cNvCxnSpPr/>
      </xdr:nvCxnSpPr>
      <xdr:spPr>
        <a:xfrm>
          <a:off x="37723361" y="11084256"/>
          <a:ext cx="305908" cy="158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1123192</xdr:colOff>
      <xdr:row>63</xdr:row>
      <xdr:rowOff>96966</xdr:rowOff>
    </xdr:from>
    <xdr:to>
      <xdr:col>30</xdr:col>
      <xdr:colOff>175996</xdr:colOff>
      <xdr:row>65</xdr:row>
      <xdr:rowOff>79327</xdr:rowOff>
    </xdr:to>
    <xdr:cxnSp macro="">
      <xdr:nvCxnSpPr>
        <xdr:cNvPr id="295" name="Straight Arrow Connector 294"/>
        <xdr:cNvCxnSpPr/>
      </xdr:nvCxnSpPr>
      <xdr:spPr>
        <a:xfrm>
          <a:off x="37702265" y="11711321"/>
          <a:ext cx="358650" cy="351071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911228</xdr:colOff>
      <xdr:row>56</xdr:row>
      <xdr:rowOff>33919</xdr:rowOff>
    </xdr:from>
    <xdr:to>
      <xdr:col>31</xdr:col>
      <xdr:colOff>147656</xdr:colOff>
      <xdr:row>56</xdr:row>
      <xdr:rowOff>102653</xdr:rowOff>
    </xdr:to>
    <xdr:cxnSp macro="">
      <xdr:nvCxnSpPr>
        <xdr:cNvPr id="296" name="Straight Arrow Connector 295"/>
        <xdr:cNvCxnSpPr/>
      </xdr:nvCxnSpPr>
      <xdr:spPr>
        <a:xfrm rot="10800000" flipV="1">
          <a:off x="38796147" y="10357790"/>
          <a:ext cx="404009" cy="68734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911228</xdr:colOff>
      <xdr:row>60</xdr:row>
      <xdr:rowOff>107561</xdr:rowOff>
    </xdr:from>
    <xdr:to>
      <xdr:col>31</xdr:col>
      <xdr:colOff>179301</xdr:colOff>
      <xdr:row>60</xdr:row>
      <xdr:rowOff>177352</xdr:rowOff>
    </xdr:to>
    <xdr:cxnSp macro="">
      <xdr:nvCxnSpPr>
        <xdr:cNvPr id="297" name="Straight Arrow Connector 296"/>
        <xdr:cNvCxnSpPr/>
      </xdr:nvCxnSpPr>
      <xdr:spPr>
        <a:xfrm rot="10800000" flipV="1">
          <a:off x="38796147" y="11168851"/>
          <a:ext cx="435654" cy="69791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942874</xdr:colOff>
      <xdr:row>64</xdr:row>
      <xdr:rowOff>82860</xdr:rowOff>
    </xdr:from>
    <xdr:to>
      <xdr:col>31</xdr:col>
      <xdr:colOff>84365</xdr:colOff>
      <xdr:row>65</xdr:row>
      <xdr:rowOff>89902</xdr:rowOff>
    </xdr:to>
    <xdr:cxnSp macro="">
      <xdr:nvCxnSpPr>
        <xdr:cNvPr id="298" name="Straight Arrow Connector 297"/>
        <xdr:cNvCxnSpPr/>
      </xdr:nvCxnSpPr>
      <xdr:spPr>
        <a:xfrm rot="10800000" flipV="1">
          <a:off x="38827793" y="11881570"/>
          <a:ext cx="309072" cy="191397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573676</xdr:colOff>
      <xdr:row>44</xdr:row>
      <xdr:rowOff>25541</xdr:rowOff>
    </xdr:from>
    <xdr:to>
      <xdr:col>30</xdr:col>
      <xdr:colOff>584224</xdr:colOff>
      <xdr:row>46</xdr:row>
      <xdr:rowOff>37513</xdr:rowOff>
    </xdr:to>
    <xdr:cxnSp macro="">
      <xdr:nvCxnSpPr>
        <xdr:cNvPr id="299" name="Straight Arrow Connector 298"/>
        <xdr:cNvCxnSpPr/>
      </xdr:nvCxnSpPr>
      <xdr:spPr>
        <a:xfrm rot="5400000">
          <a:off x="38273528" y="8322221"/>
          <a:ext cx="380682" cy="10548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62976</xdr:colOff>
      <xdr:row>19</xdr:row>
      <xdr:rowOff>55670</xdr:rowOff>
    </xdr:from>
    <xdr:to>
      <xdr:col>31</xdr:col>
      <xdr:colOff>659411</xdr:colOff>
      <xdr:row>67</xdr:row>
      <xdr:rowOff>102780</xdr:rowOff>
    </xdr:to>
    <xdr:sp macro="" textlink="">
      <xdr:nvSpPr>
        <xdr:cNvPr id="300" name="Freeform 299"/>
        <xdr:cNvSpPr/>
      </xdr:nvSpPr>
      <xdr:spPr>
        <a:xfrm>
          <a:off x="37947895" y="3558412"/>
          <a:ext cx="1764016" cy="8896142"/>
        </a:xfrm>
        <a:custGeom>
          <a:avLst/>
          <a:gdLst>
            <a:gd name="connsiteX0" fmla="*/ 1700893 w 1700893"/>
            <a:gd name="connsiteY0" fmla="*/ 0 h 8858250"/>
            <a:gd name="connsiteX1" fmla="*/ 1020536 w 1700893"/>
            <a:gd name="connsiteY1" fmla="*/ 680357 h 8858250"/>
            <a:gd name="connsiteX2" fmla="*/ 1006928 w 1700893"/>
            <a:gd name="connsiteY2" fmla="*/ 1823357 h 8858250"/>
            <a:gd name="connsiteX3" fmla="*/ 231321 w 1700893"/>
            <a:gd name="connsiteY3" fmla="*/ 2667000 h 8858250"/>
            <a:gd name="connsiteX4" fmla="*/ 802821 w 1700893"/>
            <a:gd name="connsiteY4" fmla="*/ 4095750 h 8858250"/>
            <a:gd name="connsiteX5" fmla="*/ 95250 w 1700893"/>
            <a:gd name="connsiteY5" fmla="*/ 5402035 h 8858250"/>
            <a:gd name="connsiteX6" fmla="*/ 544286 w 1700893"/>
            <a:gd name="connsiteY6" fmla="*/ 7062107 h 8858250"/>
            <a:gd name="connsiteX7" fmla="*/ 0 w 1700893"/>
            <a:gd name="connsiteY7" fmla="*/ 8858250 h 88582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700893" h="8858250">
              <a:moveTo>
                <a:pt x="1700893" y="0"/>
              </a:moveTo>
              <a:cubicBezTo>
                <a:pt x="1418545" y="188232"/>
                <a:pt x="1136197" y="376464"/>
                <a:pt x="1020536" y="680357"/>
              </a:cubicBezTo>
              <a:cubicBezTo>
                <a:pt x="904875" y="984250"/>
                <a:pt x="1138464" y="1492250"/>
                <a:pt x="1006928" y="1823357"/>
              </a:cubicBezTo>
              <a:cubicBezTo>
                <a:pt x="875392" y="2154464"/>
                <a:pt x="265339" y="2288268"/>
                <a:pt x="231321" y="2667000"/>
              </a:cubicBezTo>
              <a:cubicBezTo>
                <a:pt x="197303" y="3045732"/>
                <a:pt x="825499" y="3639911"/>
                <a:pt x="802821" y="4095750"/>
              </a:cubicBezTo>
              <a:cubicBezTo>
                <a:pt x="780143" y="4551589"/>
                <a:pt x="138339" y="4907642"/>
                <a:pt x="95250" y="5402035"/>
              </a:cubicBezTo>
              <a:cubicBezTo>
                <a:pt x="52161" y="5896428"/>
                <a:pt x="560161" y="6486071"/>
                <a:pt x="544286" y="7062107"/>
              </a:cubicBezTo>
              <a:cubicBezTo>
                <a:pt x="528411" y="7638143"/>
                <a:pt x="264205" y="8248196"/>
                <a:pt x="0" y="8858250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NZ" sz="1100"/>
        </a:p>
      </xdr:txBody>
    </xdr:sp>
    <xdr:clientData/>
  </xdr:twoCellAnchor>
  <xdr:twoCellAnchor>
    <xdr:from>
      <xdr:col>30</xdr:col>
      <xdr:colOff>115869</xdr:colOff>
      <xdr:row>19</xdr:row>
      <xdr:rowOff>163530</xdr:rowOff>
    </xdr:from>
    <xdr:to>
      <xdr:col>30</xdr:col>
      <xdr:colOff>1125363</xdr:colOff>
      <xdr:row>25</xdr:row>
      <xdr:rowOff>2758</xdr:rowOff>
    </xdr:to>
    <xdr:sp macro="" textlink="">
      <xdr:nvSpPr>
        <xdr:cNvPr id="301" name="Freeform 300"/>
        <xdr:cNvSpPr/>
      </xdr:nvSpPr>
      <xdr:spPr>
        <a:xfrm>
          <a:off x="38000788" y="3666272"/>
          <a:ext cx="1009494" cy="945357"/>
        </a:xfrm>
        <a:custGeom>
          <a:avLst/>
          <a:gdLst>
            <a:gd name="connsiteX0" fmla="*/ 0 w 942975"/>
            <a:gd name="connsiteY0" fmla="*/ 0 h 958850"/>
            <a:gd name="connsiteX1" fmla="*/ 390525 w 942975"/>
            <a:gd name="connsiteY1" fmla="*/ 809625 h 958850"/>
            <a:gd name="connsiteX2" fmla="*/ 942975 w 942975"/>
            <a:gd name="connsiteY2" fmla="*/ 895350 h 958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942975" h="958850">
              <a:moveTo>
                <a:pt x="0" y="0"/>
              </a:moveTo>
              <a:cubicBezTo>
                <a:pt x="116681" y="330200"/>
                <a:pt x="233363" y="660400"/>
                <a:pt x="390525" y="809625"/>
              </a:cubicBezTo>
              <a:cubicBezTo>
                <a:pt x="547687" y="958850"/>
                <a:pt x="745331" y="927100"/>
                <a:pt x="942975" y="895350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NZ" sz="1100"/>
        </a:p>
      </xdr:txBody>
    </xdr:sp>
    <xdr:clientData/>
  </xdr:twoCellAnchor>
  <xdr:twoCellAnchor>
    <xdr:from>
      <xdr:col>30</xdr:col>
      <xdr:colOff>479793</xdr:colOff>
      <xdr:row>61</xdr:row>
      <xdr:rowOff>94512</xdr:rowOff>
    </xdr:from>
    <xdr:to>
      <xdr:col>30</xdr:col>
      <xdr:colOff>1115869</xdr:colOff>
      <xdr:row>67</xdr:row>
      <xdr:rowOff>127252</xdr:rowOff>
    </xdr:to>
    <xdr:sp macro="" textlink="">
      <xdr:nvSpPr>
        <xdr:cNvPr id="302" name="Freeform 301"/>
        <xdr:cNvSpPr/>
      </xdr:nvSpPr>
      <xdr:spPr>
        <a:xfrm>
          <a:off x="38364712" y="11340157"/>
          <a:ext cx="636076" cy="1138869"/>
        </a:xfrm>
        <a:custGeom>
          <a:avLst/>
          <a:gdLst>
            <a:gd name="connsiteX0" fmla="*/ 0 w 628650"/>
            <a:gd name="connsiteY0" fmla="*/ 161925 h 1133475"/>
            <a:gd name="connsiteX1" fmla="*/ 533400 w 628650"/>
            <a:gd name="connsiteY1" fmla="*/ 161925 h 1133475"/>
            <a:gd name="connsiteX2" fmla="*/ 571500 w 628650"/>
            <a:gd name="connsiteY2" fmla="*/ 1133475 h 11334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28650" h="1133475">
              <a:moveTo>
                <a:pt x="0" y="161925"/>
              </a:moveTo>
              <a:cubicBezTo>
                <a:pt x="219075" y="80962"/>
                <a:pt x="438150" y="0"/>
                <a:pt x="533400" y="161925"/>
              </a:cubicBezTo>
              <a:cubicBezTo>
                <a:pt x="628650" y="323850"/>
                <a:pt x="600075" y="728662"/>
                <a:pt x="571500" y="1133475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NZ" sz="1100"/>
        </a:p>
      </xdr:txBody>
    </xdr:sp>
    <xdr:clientData/>
  </xdr:twoCellAnchor>
  <xdr:twoCellAnchor>
    <xdr:from>
      <xdr:col>31</xdr:col>
      <xdr:colOff>460887</xdr:colOff>
      <xdr:row>13</xdr:row>
      <xdr:rowOff>15363</xdr:rowOff>
    </xdr:from>
    <xdr:to>
      <xdr:col>31</xdr:col>
      <xdr:colOff>629879</xdr:colOff>
      <xdr:row>17</xdr:row>
      <xdr:rowOff>61452</xdr:rowOff>
    </xdr:to>
    <xdr:cxnSp macro="">
      <xdr:nvCxnSpPr>
        <xdr:cNvPr id="304" name="Straight Connector 303"/>
        <xdr:cNvCxnSpPr/>
      </xdr:nvCxnSpPr>
      <xdr:spPr>
        <a:xfrm rot="5400000">
          <a:off x="39206129" y="2719234"/>
          <a:ext cx="783508" cy="16899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660606</xdr:colOff>
      <xdr:row>8</xdr:row>
      <xdr:rowOff>138266</xdr:rowOff>
    </xdr:from>
    <xdr:to>
      <xdr:col>33</xdr:col>
      <xdr:colOff>675968</xdr:colOff>
      <xdr:row>22</xdr:row>
      <xdr:rowOff>15363</xdr:rowOff>
    </xdr:to>
    <xdr:cxnSp macro="">
      <xdr:nvCxnSpPr>
        <xdr:cNvPr id="305" name="Straight Connector 304"/>
        <xdr:cNvCxnSpPr/>
      </xdr:nvCxnSpPr>
      <xdr:spPr>
        <a:xfrm rot="10800000" flipV="1">
          <a:off x="41003590" y="1613105"/>
          <a:ext cx="2580967" cy="24580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245806</xdr:colOff>
      <xdr:row>22</xdr:row>
      <xdr:rowOff>168992</xdr:rowOff>
    </xdr:from>
    <xdr:to>
      <xdr:col>33</xdr:col>
      <xdr:colOff>660605</xdr:colOff>
      <xdr:row>24</xdr:row>
      <xdr:rowOff>138266</xdr:rowOff>
    </xdr:to>
    <xdr:cxnSp macro="">
      <xdr:nvCxnSpPr>
        <xdr:cNvPr id="309" name="Straight Connector 308"/>
        <xdr:cNvCxnSpPr/>
      </xdr:nvCxnSpPr>
      <xdr:spPr>
        <a:xfrm rot="10800000" flipV="1">
          <a:off x="39298306" y="4224798"/>
          <a:ext cx="4270888" cy="33798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583790</xdr:colOff>
      <xdr:row>27</xdr:row>
      <xdr:rowOff>138266</xdr:rowOff>
    </xdr:from>
    <xdr:to>
      <xdr:col>34</xdr:col>
      <xdr:colOff>15363</xdr:colOff>
      <xdr:row>29</xdr:row>
      <xdr:rowOff>46089</xdr:rowOff>
    </xdr:to>
    <xdr:cxnSp macro="">
      <xdr:nvCxnSpPr>
        <xdr:cNvPr id="311" name="Straight Connector 310"/>
        <xdr:cNvCxnSpPr/>
      </xdr:nvCxnSpPr>
      <xdr:spPr>
        <a:xfrm>
          <a:off x="39636290" y="5115847"/>
          <a:ext cx="3978992" cy="276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1152218</xdr:colOff>
      <xdr:row>32</xdr:row>
      <xdr:rowOff>0</xdr:rowOff>
    </xdr:from>
    <xdr:to>
      <xdr:col>34</xdr:col>
      <xdr:colOff>0</xdr:colOff>
      <xdr:row>39</xdr:row>
      <xdr:rowOff>168992</xdr:rowOff>
    </xdr:to>
    <xdr:cxnSp macro="">
      <xdr:nvCxnSpPr>
        <xdr:cNvPr id="313" name="Straight Connector 312"/>
        <xdr:cNvCxnSpPr/>
      </xdr:nvCxnSpPr>
      <xdr:spPr>
        <a:xfrm>
          <a:off x="39037137" y="5899355"/>
          <a:ext cx="4562782" cy="14594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844961</xdr:colOff>
      <xdr:row>48</xdr:row>
      <xdr:rowOff>15364</xdr:rowOff>
    </xdr:from>
    <xdr:to>
      <xdr:col>33</xdr:col>
      <xdr:colOff>660606</xdr:colOff>
      <xdr:row>54</xdr:row>
      <xdr:rowOff>15364</xdr:rowOff>
    </xdr:to>
    <xdr:cxnSp macro="">
      <xdr:nvCxnSpPr>
        <xdr:cNvPr id="317" name="Straight Connector 316"/>
        <xdr:cNvCxnSpPr/>
      </xdr:nvCxnSpPr>
      <xdr:spPr>
        <a:xfrm rot="10800000">
          <a:off x="38729880" y="8864396"/>
          <a:ext cx="4839315" cy="11061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814234</xdr:colOff>
      <xdr:row>44</xdr:row>
      <xdr:rowOff>0</xdr:rowOff>
    </xdr:from>
    <xdr:to>
      <xdr:col>33</xdr:col>
      <xdr:colOff>675967</xdr:colOff>
      <xdr:row>65</xdr:row>
      <xdr:rowOff>0</xdr:rowOff>
    </xdr:to>
    <xdr:cxnSp macro="">
      <xdr:nvCxnSpPr>
        <xdr:cNvPr id="319" name="Straight Connector 318"/>
        <xdr:cNvCxnSpPr/>
      </xdr:nvCxnSpPr>
      <xdr:spPr>
        <a:xfrm rot="16200000" flipV="1">
          <a:off x="39789919" y="8188428"/>
          <a:ext cx="3871452" cy="371782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522339</xdr:colOff>
      <xdr:row>61</xdr:row>
      <xdr:rowOff>122903</xdr:rowOff>
    </xdr:from>
    <xdr:to>
      <xdr:col>33</xdr:col>
      <xdr:colOff>645242</xdr:colOff>
      <xdr:row>73</xdr:row>
      <xdr:rowOff>107541</xdr:rowOff>
    </xdr:to>
    <xdr:cxnSp macro="">
      <xdr:nvCxnSpPr>
        <xdr:cNvPr id="321" name="Straight Connector 320"/>
        <xdr:cNvCxnSpPr/>
      </xdr:nvCxnSpPr>
      <xdr:spPr>
        <a:xfrm rot="10800000">
          <a:off x="39574839" y="11368548"/>
          <a:ext cx="3978992" cy="219689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675968</xdr:colOff>
      <xdr:row>66</xdr:row>
      <xdr:rowOff>46090</xdr:rowOff>
    </xdr:from>
    <xdr:to>
      <xdr:col>31</xdr:col>
      <xdr:colOff>1044677</xdr:colOff>
      <xdr:row>72</xdr:row>
      <xdr:rowOff>138268</xdr:rowOff>
    </xdr:to>
    <xdr:cxnSp macro="">
      <xdr:nvCxnSpPr>
        <xdr:cNvPr id="323" name="Straight Connector 322"/>
        <xdr:cNvCxnSpPr/>
      </xdr:nvCxnSpPr>
      <xdr:spPr>
        <a:xfrm rot="10800000">
          <a:off x="38560887" y="12213509"/>
          <a:ext cx="1536290" cy="119830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46088</xdr:colOff>
      <xdr:row>53</xdr:row>
      <xdr:rowOff>30727</xdr:rowOff>
    </xdr:from>
    <xdr:to>
      <xdr:col>29</xdr:col>
      <xdr:colOff>1290483</xdr:colOff>
      <xdr:row>72</xdr:row>
      <xdr:rowOff>107542</xdr:rowOff>
    </xdr:to>
    <xdr:cxnSp macro="">
      <xdr:nvCxnSpPr>
        <xdr:cNvPr id="325" name="Straight Connector 324"/>
        <xdr:cNvCxnSpPr/>
      </xdr:nvCxnSpPr>
      <xdr:spPr>
        <a:xfrm rot="5400000" flipH="1" flipV="1">
          <a:off x="35457580" y="10969114"/>
          <a:ext cx="3579557" cy="124439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92178</xdr:colOff>
      <xdr:row>61</xdr:row>
      <xdr:rowOff>107540</xdr:rowOff>
    </xdr:from>
    <xdr:to>
      <xdr:col>30</xdr:col>
      <xdr:colOff>168992</xdr:colOff>
      <xdr:row>87</xdr:row>
      <xdr:rowOff>168992</xdr:rowOff>
    </xdr:to>
    <xdr:cxnSp macro="">
      <xdr:nvCxnSpPr>
        <xdr:cNvPr id="327" name="Straight Connector 326"/>
        <xdr:cNvCxnSpPr/>
      </xdr:nvCxnSpPr>
      <xdr:spPr>
        <a:xfrm rot="5400000" flipH="1" flipV="1">
          <a:off x="35588165" y="13742117"/>
          <a:ext cx="4854678" cy="768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368711</xdr:colOff>
      <xdr:row>56</xdr:row>
      <xdr:rowOff>153629</xdr:rowOff>
    </xdr:from>
    <xdr:to>
      <xdr:col>30</xdr:col>
      <xdr:colOff>1121493</xdr:colOff>
      <xdr:row>89</xdr:row>
      <xdr:rowOff>0</xdr:rowOff>
    </xdr:to>
    <xdr:cxnSp macro="">
      <xdr:nvCxnSpPr>
        <xdr:cNvPr id="329" name="Straight Connector 328"/>
        <xdr:cNvCxnSpPr/>
      </xdr:nvCxnSpPr>
      <xdr:spPr>
        <a:xfrm rot="16200000" flipV="1">
          <a:off x="35664980" y="13066150"/>
          <a:ext cx="5930081" cy="75278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30725</xdr:colOff>
      <xdr:row>9</xdr:row>
      <xdr:rowOff>0</xdr:rowOff>
    </xdr:from>
    <xdr:to>
      <xdr:col>29</xdr:col>
      <xdr:colOff>-1</xdr:colOff>
      <xdr:row>23</xdr:row>
      <xdr:rowOff>107541</xdr:rowOff>
    </xdr:to>
    <xdr:cxnSp macro="">
      <xdr:nvCxnSpPr>
        <xdr:cNvPr id="331" name="Straight Connector 330"/>
        <xdr:cNvCxnSpPr/>
      </xdr:nvCxnSpPr>
      <xdr:spPr>
        <a:xfrm rot="16200000" flipH="1">
          <a:off x="33967379" y="1736008"/>
          <a:ext cx="2688508" cy="253487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30726</xdr:colOff>
      <xdr:row>19</xdr:row>
      <xdr:rowOff>76814</xdr:rowOff>
    </xdr:from>
    <xdr:to>
      <xdr:col>30</xdr:col>
      <xdr:colOff>184355</xdr:colOff>
      <xdr:row>34</xdr:row>
      <xdr:rowOff>92177</xdr:rowOff>
    </xdr:to>
    <xdr:cxnSp macro="">
      <xdr:nvCxnSpPr>
        <xdr:cNvPr id="335" name="Straight Connector 334"/>
        <xdr:cNvCxnSpPr/>
      </xdr:nvCxnSpPr>
      <xdr:spPr>
        <a:xfrm>
          <a:off x="37900282" y="3579556"/>
          <a:ext cx="4025081" cy="278068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30</xdr:row>
      <xdr:rowOff>76815</xdr:rowOff>
    </xdr:from>
    <xdr:to>
      <xdr:col>30</xdr:col>
      <xdr:colOff>353347</xdr:colOff>
      <xdr:row>38</xdr:row>
      <xdr:rowOff>122904</xdr:rowOff>
    </xdr:to>
    <xdr:cxnSp macro="">
      <xdr:nvCxnSpPr>
        <xdr:cNvPr id="337" name="Straight Connector 336"/>
        <xdr:cNvCxnSpPr/>
      </xdr:nvCxnSpPr>
      <xdr:spPr>
        <a:xfrm>
          <a:off x="37869556" y="5607460"/>
          <a:ext cx="4224799" cy="15209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15363</xdr:colOff>
      <xdr:row>41</xdr:row>
      <xdr:rowOff>122904</xdr:rowOff>
    </xdr:from>
    <xdr:to>
      <xdr:col>30</xdr:col>
      <xdr:colOff>307258</xdr:colOff>
      <xdr:row>43</xdr:row>
      <xdr:rowOff>92177</xdr:rowOff>
    </xdr:to>
    <xdr:cxnSp macro="">
      <xdr:nvCxnSpPr>
        <xdr:cNvPr id="339" name="Straight Connector 338"/>
        <xdr:cNvCxnSpPr/>
      </xdr:nvCxnSpPr>
      <xdr:spPr>
        <a:xfrm>
          <a:off x="37884919" y="7681452"/>
          <a:ext cx="4163347" cy="33798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30726</xdr:colOff>
      <xdr:row>37</xdr:row>
      <xdr:rowOff>61454</xdr:rowOff>
    </xdr:from>
    <xdr:to>
      <xdr:col>28</xdr:col>
      <xdr:colOff>1044678</xdr:colOff>
      <xdr:row>53</xdr:row>
      <xdr:rowOff>15364</xdr:rowOff>
    </xdr:to>
    <xdr:cxnSp macro="">
      <xdr:nvCxnSpPr>
        <xdr:cNvPr id="341" name="Straight Connector 340"/>
        <xdr:cNvCxnSpPr/>
      </xdr:nvCxnSpPr>
      <xdr:spPr>
        <a:xfrm rot="5400000" flipH="1" flipV="1">
          <a:off x="37654477" y="7128388"/>
          <a:ext cx="2903587" cy="241197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15365</xdr:colOff>
      <xdr:row>51</xdr:row>
      <xdr:rowOff>92178</xdr:rowOff>
    </xdr:from>
    <xdr:to>
      <xdr:col>28</xdr:col>
      <xdr:colOff>675967</xdr:colOff>
      <xdr:row>65</xdr:row>
      <xdr:rowOff>30726</xdr:rowOff>
    </xdr:to>
    <xdr:cxnSp macro="">
      <xdr:nvCxnSpPr>
        <xdr:cNvPr id="343" name="Straight Connector 342"/>
        <xdr:cNvCxnSpPr/>
      </xdr:nvCxnSpPr>
      <xdr:spPr>
        <a:xfrm rot="5400000" flipH="1" flipV="1">
          <a:off x="37654477" y="9724719"/>
          <a:ext cx="2519516" cy="20586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15365</xdr:colOff>
      <xdr:row>55</xdr:row>
      <xdr:rowOff>1</xdr:rowOff>
    </xdr:from>
    <xdr:to>
      <xdr:col>28</xdr:col>
      <xdr:colOff>1121491</xdr:colOff>
      <xdr:row>77</xdr:row>
      <xdr:rowOff>61452</xdr:rowOff>
    </xdr:to>
    <xdr:cxnSp macro="">
      <xdr:nvCxnSpPr>
        <xdr:cNvPr id="345" name="Straight Connector 344"/>
        <xdr:cNvCxnSpPr/>
      </xdr:nvCxnSpPr>
      <xdr:spPr>
        <a:xfrm rot="5400000" flipH="1" flipV="1">
          <a:off x="37078368" y="10946070"/>
          <a:ext cx="4117258" cy="25041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23"/>
  <sheetViews>
    <sheetView workbookViewId="0">
      <selection activeCell="G12" sqref="G12"/>
    </sheetView>
  </sheetViews>
  <sheetFormatPr defaultRowHeight="14.25"/>
  <cols>
    <col min="2" max="2" width="14.5" bestFit="1" customWidth="1"/>
    <col min="3" max="3" width="9.5" bestFit="1" customWidth="1"/>
    <col min="4" max="4" width="18.25" bestFit="1" customWidth="1"/>
    <col min="5" max="5" width="13.125" bestFit="1" customWidth="1"/>
    <col min="6" max="6" width="8.125" bestFit="1" customWidth="1"/>
    <col min="7" max="7" width="9.625" bestFit="1" customWidth="1"/>
    <col min="8" max="8" width="7.375" bestFit="1" customWidth="1"/>
    <col min="9" max="9" width="10.625" bestFit="1" customWidth="1"/>
    <col min="10" max="10" width="11.625" bestFit="1" customWidth="1"/>
    <col min="11" max="11" width="7.25" customWidth="1"/>
    <col min="12" max="12" width="14.5" bestFit="1" customWidth="1"/>
  </cols>
  <sheetData>
    <row r="1" spans="1:17" s="1" customFormat="1" ht="15">
      <c r="B1" s="2" t="s">
        <v>26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  <c r="H1" s="2" t="s">
        <v>22</v>
      </c>
      <c r="I1" s="2" t="s">
        <v>27</v>
      </c>
      <c r="J1" s="2" t="s">
        <v>23</v>
      </c>
      <c r="K1" s="2" t="s">
        <v>24</v>
      </c>
      <c r="L1" s="1" t="s">
        <v>25</v>
      </c>
      <c r="N1" s="1" t="s">
        <v>32</v>
      </c>
      <c r="O1" s="1" t="s">
        <v>29</v>
      </c>
      <c r="P1" s="1" t="s">
        <v>30</v>
      </c>
      <c r="Q1" s="1" t="s">
        <v>31</v>
      </c>
    </row>
    <row r="2" spans="1:17">
      <c r="A2" t="s">
        <v>16</v>
      </c>
      <c r="B2">
        <v>5</v>
      </c>
      <c r="C2">
        <v>0</v>
      </c>
      <c r="D2">
        <v>10</v>
      </c>
      <c r="E2">
        <v>0</v>
      </c>
      <c r="F2">
        <v>100</v>
      </c>
      <c r="G2">
        <v>65</v>
      </c>
      <c r="H2">
        <v>100</v>
      </c>
      <c r="I2">
        <v>30</v>
      </c>
      <c r="J2">
        <v>0</v>
      </c>
      <c r="K2">
        <v>0</v>
      </c>
      <c r="L2">
        <v>10</v>
      </c>
      <c r="N2">
        <f t="shared" ref="N2:N18" si="0">SUM(B2:L2)</f>
        <v>320</v>
      </c>
      <c r="O2">
        <f t="shared" ref="O2:O18" si="1">AVERAGE(B2:L2)</f>
        <v>29.09090909090909</v>
      </c>
      <c r="P2">
        <f t="shared" ref="P2:P18" si="2">MIN(B2:L2)</f>
        <v>0</v>
      </c>
      <c r="Q2">
        <f t="shared" ref="Q2:Q18" si="3">MAX(B2:L2)</f>
        <v>100</v>
      </c>
    </row>
    <row r="3" spans="1:17">
      <c r="A3" t="s">
        <v>0</v>
      </c>
      <c r="B3">
        <v>25</v>
      </c>
      <c r="C3">
        <v>50</v>
      </c>
      <c r="D3">
        <v>70</v>
      </c>
      <c r="E3">
        <v>60</v>
      </c>
      <c r="F3">
        <v>60</v>
      </c>
      <c r="G3">
        <v>75</v>
      </c>
      <c r="H3">
        <v>20</v>
      </c>
      <c r="I3">
        <v>40</v>
      </c>
      <c r="J3">
        <v>40</v>
      </c>
      <c r="K3">
        <v>80</v>
      </c>
      <c r="L3">
        <v>65</v>
      </c>
      <c r="N3">
        <f t="shared" si="0"/>
        <v>585</v>
      </c>
      <c r="O3">
        <f t="shared" si="1"/>
        <v>53.18181818181818</v>
      </c>
      <c r="P3">
        <f t="shared" si="2"/>
        <v>20</v>
      </c>
      <c r="Q3">
        <f t="shared" si="3"/>
        <v>80</v>
      </c>
    </row>
    <row r="4" spans="1:17">
      <c r="A4" t="s">
        <v>1</v>
      </c>
      <c r="B4">
        <v>15</v>
      </c>
      <c r="C4">
        <v>50</v>
      </c>
      <c r="D4">
        <v>10</v>
      </c>
      <c r="E4">
        <v>10</v>
      </c>
      <c r="F4">
        <v>60</v>
      </c>
      <c r="G4">
        <v>60</v>
      </c>
      <c r="H4">
        <v>35</v>
      </c>
      <c r="I4">
        <v>20</v>
      </c>
      <c r="J4">
        <v>30</v>
      </c>
      <c r="K4">
        <v>40</v>
      </c>
      <c r="L4">
        <v>50</v>
      </c>
      <c r="N4">
        <f t="shared" si="0"/>
        <v>380</v>
      </c>
      <c r="O4">
        <f t="shared" si="1"/>
        <v>34.545454545454547</v>
      </c>
      <c r="P4">
        <f t="shared" si="2"/>
        <v>10</v>
      </c>
      <c r="Q4">
        <f t="shared" si="3"/>
        <v>60</v>
      </c>
    </row>
    <row r="5" spans="1:17">
      <c r="A5" t="s">
        <v>2</v>
      </c>
      <c r="B5">
        <v>45</v>
      </c>
      <c r="C5">
        <v>35</v>
      </c>
      <c r="E5">
        <v>55</v>
      </c>
      <c r="F5">
        <v>10</v>
      </c>
      <c r="G5">
        <v>50</v>
      </c>
      <c r="H5">
        <v>5</v>
      </c>
      <c r="I5">
        <v>10</v>
      </c>
      <c r="J5">
        <v>60</v>
      </c>
      <c r="K5">
        <v>30</v>
      </c>
      <c r="L5">
        <v>65</v>
      </c>
      <c r="N5">
        <f t="shared" si="0"/>
        <v>365</v>
      </c>
      <c r="O5">
        <f t="shared" si="1"/>
        <v>36.5</v>
      </c>
      <c r="P5">
        <f t="shared" si="2"/>
        <v>5</v>
      </c>
      <c r="Q5">
        <f t="shared" si="3"/>
        <v>65</v>
      </c>
    </row>
    <row r="6" spans="1:17">
      <c r="A6" t="s">
        <v>3</v>
      </c>
      <c r="B6">
        <v>25</v>
      </c>
      <c r="C6">
        <v>65</v>
      </c>
      <c r="D6">
        <v>75</v>
      </c>
      <c r="E6">
        <v>40</v>
      </c>
      <c r="F6">
        <v>80</v>
      </c>
      <c r="G6">
        <v>25</v>
      </c>
      <c r="H6">
        <v>25</v>
      </c>
      <c r="I6">
        <v>45</v>
      </c>
      <c r="J6">
        <v>30</v>
      </c>
      <c r="K6">
        <v>40</v>
      </c>
      <c r="L6">
        <v>35</v>
      </c>
      <c r="N6">
        <f t="shared" si="0"/>
        <v>485</v>
      </c>
      <c r="O6">
        <f t="shared" si="1"/>
        <v>44.090909090909093</v>
      </c>
      <c r="P6">
        <f t="shared" si="2"/>
        <v>25</v>
      </c>
      <c r="Q6">
        <f t="shared" si="3"/>
        <v>80</v>
      </c>
    </row>
    <row r="7" spans="1:17">
      <c r="A7" t="s">
        <v>4</v>
      </c>
      <c r="B7">
        <v>40</v>
      </c>
      <c r="C7">
        <v>45</v>
      </c>
      <c r="D7">
        <v>35</v>
      </c>
      <c r="E7">
        <v>45</v>
      </c>
      <c r="F7">
        <v>20</v>
      </c>
      <c r="G7">
        <v>25</v>
      </c>
      <c r="H7">
        <v>5</v>
      </c>
      <c r="I7">
        <v>20</v>
      </c>
      <c r="J7">
        <v>50</v>
      </c>
      <c r="K7">
        <v>45</v>
      </c>
      <c r="L7">
        <v>70</v>
      </c>
      <c r="N7">
        <f t="shared" si="0"/>
        <v>400</v>
      </c>
      <c r="O7">
        <f t="shared" si="1"/>
        <v>36.363636363636367</v>
      </c>
      <c r="P7">
        <f t="shared" si="2"/>
        <v>5</v>
      </c>
      <c r="Q7">
        <f t="shared" si="3"/>
        <v>70</v>
      </c>
    </row>
    <row r="8" spans="1:17">
      <c r="A8" t="s">
        <v>5</v>
      </c>
      <c r="B8">
        <v>60</v>
      </c>
      <c r="C8">
        <v>40</v>
      </c>
      <c r="D8">
        <v>30</v>
      </c>
      <c r="E8">
        <v>45</v>
      </c>
      <c r="F8">
        <v>10</v>
      </c>
      <c r="G8">
        <v>20</v>
      </c>
      <c r="H8">
        <v>5</v>
      </c>
      <c r="I8">
        <v>30</v>
      </c>
      <c r="J8">
        <v>75</v>
      </c>
      <c r="K8">
        <v>50</v>
      </c>
      <c r="L8">
        <v>85</v>
      </c>
      <c r="N8">
        <f t="shared" si="0"/>
        <v>450</v>
      </c>
      <c r="O8">
        <f t="shared" si="1"/>
        <v>40.909090909090907</v>
      </c>
      <c r="P8">
        <f t="shared" si="2"/>
        <v>5</v>
      </c>
      <c r="Q8">
        <f t="shared" si="3"/>
        <v>85</v>
      </c>
    </row>
    <row r="9" spans="1:17">
      <c r="A9" t="s">
        <v>6</v>
      </c>
      <c r="B9">
        <v>65</v>
      </c>
      <c r="C9">
        <v>50</v>
      </c>
      <c r="D9">
        <v>25</v>
      </c>
      <c r="E9">
        <v>45</v>
      </c>
      <c r="F9">
        <v>10</v>
      </c>
      <c r="G9">
        <v>20</v>
      </c>
      <c r="H9">
        <v>5</v>
      </c>
      <c r="I9">
        <v>20</v>
      </c>
      <c r="J9">
        <v>80</v>
      </c>
      <c r="K9">
        <v>65</v>
      </c>
      <c r="L9">
        <v>90</v>
      </c>
      <c r="N9">
        <f t="shared" si="0"/>
        <v>475</v>
      </c>
      <c r="O9">
        <f t="shared" si="1"/>
        <v>43.18181818181818</v>
      </c>
      <c r="P9">
        <f t="shared" si="2"/>
        <v>5</v>
      </c>
      <c r="Q9">
        <f t="shared" si="3"/>
        <v>90</v>
      </c>
    </row>
    <row r="10" spans="1:17">
      <c r="A10" t="s">
        <v>7</v>
      </c>
      <c r="B10">
        <v>10</v>
      </c>
      <c r="C10">
        <v>0</v>
      </c>
      <c r="D10">
        <v>0</v>
      </c>
      <c r="E10">
        <v>0</v>
      </c>
      <c r="F10">
        <v>10</v>
      </c>
      <c r="G10">
        <v>20</v>
      </c>
      <c r="H10">
        <v>5</v>
      </c>
      <c r="I10">
        <v>0</v>
      </c>
      <c r="J10">
        <v>30</v>
      </c>
      <c r="K10">
        <v>0</v>
      </c>
      <c r="L10">
        <v>20</v>
      </c>
      <c r="N10">
        <f t="shared" si="0"/>
        <v>95</v>
      </c>
      <c r="O10">
        <f t="shared" si="1"/>
        <v>8.6363636363636367</v>
      </c>
      <c r="P10">
        <f t="shared" si="2"/>
        <v>0</v>
      </c>
      <c r="Q10">
        <f t="shared" si="3"/>
        <v>30</v>
      </c>
    </row>
    <row r="11" spans="1:17">
      <c r="A11" t="s">
        <v>8</v>
      </c>
      <c r="B11">
        <v>25</v>
      </c>
      <c r="C11">
        <v>50</v>
      </c>
      <c r="D11">
        <v>65</v>
      </c>
      <c r="E11">
        <v>60</v>
      </c>
      <c r="F11">
        <v>30</v>
      </c>
      <c r="G11">
        <v>25</v>
      </c>
      <c r="H11">
        <v>15</v>
      </c>
      <c r="I11">
        <v>65</v>
      </c>
      <c r="J11">
        <v>50</v>
      </c>
      <c r="K11">
        <v>55</v>
      </c>
      <c r="L11">
        <v>75</v>
      </c>
      <c r="N11">
        <f t="shared" si="0"/>
        <v>515</v>
      </c>
      <c r="O11">
        <f t="shared" si="1"/>
        <v>46.81818181818182</v>
      </c>
      <c r="P11">
        <f t="shared" si="2"/>
        <v>15</v>
      </c>
      <c r="Q11">
        <f t="shared" si="3"/>
        <v>75</v>
      </c>
    </row>
    <row r="12" spans="1:17">
      <c r="A12" s="3" t="s">
        <v>9</v>
      </c>
      <c r="B12">
        <v>100</v>
      </c>
      <c r="C12">
        <v>75</v>
      </c>
      <c r="D12">
        <v>0</v>
      </c>
      <c r="E12">
        <v>0</v>
      </c>
      <c r="F12">
        <v>0</v>
      </c>
      <c r="G12">
        <v>100</v>
      </c>
      <c r="I12">
        <v>100</v>
      </c>
      <c r="J12">
        <v>100</v>
      </c>
      <c r="K12">
        <v>100</v>
      </c>
      <c r="L12">
        <v>100</v>
      </c>
      <c r="N12">
        <f t="shared" si="0"/>
        <v>675</v>
      </c>
      <c r="O12">
        <f t="shared" si="1"/>
        <v>67.5</v>
      </c>
      <c r="P12">
        <f t="shared" si="2"/>
        <v>0</v>
      </c>
      <c r="Q12">
        <f t="shared" si="3"/>
        <v>100</v>
      </c>
    </row>
    <row r="13" spans="1:17">
      <c r="A13" t="s">
        <v>10</v>
      </c>
      <c r="B13">
        <v>100</v>
      </c>
      <c r="C13">
        <v>100</v>
      </c>
      <c r="D13">
        <v>20</v>
      </c>
      <c r="E13">
        <v>40</v>
      </c>
      <c r="F13">
        <v>10</v>
      </c>
      <c r="G13">
        <v>60</v>
      </c>
      <c r="H13">
        <v>5</v>
      </c>
      <c r="I13">
        <v>20</v>
      </c>
      <c r="J13">
        <v>100</v>
      </c>
      <c r="K13">
        <v>85</v>
      </c>
      <c r="L13">
        <v>0</v>
      </c>
      <c r="N13">
        <f t="shared" si="0"/>
        <v>540</v>
      </c>
      <c r="O13">
        <f t="shared" si="1"/>
        <v>49.090909090909093</v>
      </c>
      <c r="P13">
        <f t="shared" si="2"/>
        <v>0</v>
      </c>
      <c r="Q13">
        <f t="shared" si="3"/>
        <v>100</v>
      </c>
    </row>
    <row r="14" spans="1:17">
      <c r="A14" t="s">
        <v>11</v>
      </c>
      <c r="B14">
        <v>15</v>
      </c>
      <c r="C14">
        <v>50</v>
      </c>
      <c r="D14">
        <v>10</v>
      </c>
      <c r="E14">
        <v>20</v>
      </c>
      <c r="F14">
        <v>20</v>
      </c>
      <c r="G14">
        <v>15</v>
      </c>
      <c r="H14">
        <v>5</v>
      </c>
      <c r="I14">
        <v>10</v>
      </c>
      <c r="J14">
        <v>75</v>
      </c>
      <c r="K14">
        <v>10</v>
      </c>
      <c r="L14">
        <v>20</v>
      </c>
      <c r="N14">
        <f t="shared" si="0"/>
        <v>250</v>
      </c>
      <c r="O14">
        <f t="shared" si="1"/>
        <v>22.727272727272727</v>
      </c>
      <c r="P14">
        <f t="shared" si="2"/>
        <v>5</v>
      </c>
      <c r="Q14">
        <f t="shared" si="3"/>
        <v>75</v>
      </c>
    </row>
    <row r="15" spans="1:17">
      <c r="A15" t="s">
        <v>12</v>
      </c>
      <c r="B15">
        <v>50</v>
      </c>
      <c r="C15">
        <v>35</v>
      </c>
      <c r="D15">
        <v>5</v>
      </c>
      <c r="E15">
        <v>10</v>
      </c>
      <c r="F15">
        <v>20</v>
      </c>
      <c r="G15">
        <v>25</v>
      </c>
      <c r="H15">
        <v>0</v>
      </c>
      <c r="I15">
        <v>100</v>
      </c>
      <c r="J15">
        <v>55</v>
      </c>
      <c r="K15">
        <v>60</v>
      </c>
      <c r="L15">
        <v>25</v>
      </c>
      <c r="N15">
        <f t="shared" si="0"/>
        <v>385</v>
      </c>
      <c r="O15">
        <f t="shared" si="1"/>
        <v>35</v>
      </c>
      <c r="P15">
        <f t="shared" si="2"/>
        <v>0</v>
      </c>
      <c r="Q15">
        <f t="shared" si="3"/>
        <v>100</v>
      </c>
    </row>
    <row r="16" spans="1:17">
      <c r="A16" t="s">
        <v>13</v>
      </c>
      <c r="B16">
        <v>0</v>
      </c>
      <c r="C16">
        <v>0</v>
      </c>
      <c r="D16">
        <v>0</v>
      </c>
      <c r="E16">
        <v>0</v>
      </c>
      <c r="F16">
        <v>65</v>
      </c>
      <c r="G16">
        <v>20</v>
      </c>
      <c r="H16">
        <v>75</v>
      </c>
      <c r="I16">
        <v>20</v>
      </c>
      <c r="J16">
        <v>20</v>
      </c>
      <c r="K16">
        <v>10</v>
      </c>
      <c r="L16">
        <v>0</v>
      </c>
      <c r="N16">
        <f t="shared" si="0"/>
        <v>210</v>
      </c>
      <c r="O16">
        <f t="shared" si="1"/>
        <v>19.09090909090909</v>
      </c>
      <c r="P16">
        <f t="shared" si="2"/>
        <v>0</v>
      </c>
      <c r="Q16">
        <f t="shared" si="3"/>
        <v>75</v>
      </c>
    </row>
    <row r="17" spans="1:17">
      <c r="A17" t="s">
        <v>14</v>
      </c>
      <c r="B17">
        <v>10</v>
      </c>
      <c r="C17">
        <v>45</v>
      </c>
      <c r="D17">
        <v>0</v>
      </c>
      <c r="E17">
        <v>0</v>
      </c>
      <c r="F17">
        <v>35</v>
      </c>
      <c r="G17">
        <v>30</v>
      </c>
      <c r="H17">
        <v>20</v>
      </c>
      <c r="I17">
        <v>15</v>
      </c>
      <c r="J17">
        <v>15</v>
      </c>
      <c r="K17">
        <v>25</v>
      </c>
      <c r="L17">
        <v>30</v>
      </c>
      <c r="N17">
        <f t="shared" si="0"/>
        <v>225</v>
      </c>
      <c r="O17">
        <f t="shared" si="1"/>
        <v>20.454545454545453</v>
      </c>
      <c r="P17">
        <f t="shared" si="2"/>
        <v>0</v>
      </c>
      <c r="Q17">
        <f t="shared" si="3"/>
        <v>45</v>
      </c>
    </row>
    <row r="18" spans="1:17">
      <c r="A18" t="s">
        <v>15</v>
      </c>
      <c r="B18">
        <v>60</v>
      </c>
      <c r="C18">
        <v>65</v>
      </c>
      <c r="D18">
        <v>10</v>
      </c>
      <c r="E18">
        <v>0</v>
      </c>
      <c r="F18">
        <v>40</v>
      </c>
      <c r="G18">
        <v>40</v>
      </c>
      <c r="H18">
        <v>45</v>
      </c>
      <c r="I18">
        <v>10</v>
      </c>
      <c r="J18">
        <v>30</v>
      </c>
      <c r="K18">
        <v>25</v>
      </c>
      <c r="L18">
        <v>25</v>
      </c>
      <c r="N18">
        <f t="shared" si="0"/>
        <v>350</v>
      </c>
      <c r="O18">
        <f t="shared" si="1"/>
        <v>31.818181818181817</v>
      </c>
      <c r="P18">
        <f t="shared" si="2"/>
        <v>0</v>
      </c>
      <c r="Q18">
        <f t="shared" si="3"/>
        <v>65</v>
      </c>
    </row>
    <row r="20" spans="1:17">
      <c r="A20" t="s">
        <v>28</v>
      </c>
      <c r="B20">
        <f>SUM(B2:B18)</f>
        <v>650</v>
      </c>
      <c r="C20">
        <f t="shared" ref="C20:L20" si="4">SUM(C2:C18)</f>
        <v>755</v>
      </c>
      <c r="D20">
        <f t="shared" si="4"/>
        <v>365</v>
      </c>
      <c r="E20">
        <f t="shared" si="4"/>
        <v>430</v>
      </c>
      <c r="F20">
        <f t="shared" si="4"/>
        <v>580</v>
      </c>
      <c r="G20">
        <f t="shared" si="4"/>
        <v>675</v>
      </c>
      <c r="H20">
        <f t="shared" si="4"/>
        <v>370</v>
      </c>
      <c r="I20">
        <f t="shared" si="4"/>
        <v>555</v>
      </c>
      <c r="J20">
        <f t="shared" si="4"/>
        <v>840</v>
      </c>
      <c r="K20">
        <f t="shared" si="4"/>
        <v>720</v>
      </c>
      <c r="L20">
        <f t="shared" si="4"/>
        <v>765</v>
      </c>
    </row>
    <row r="21" spans="1:17">
      <c r="A21" t="s">
        <v>29</v>
      </c>
      <c r="B21">
        <f>AVERAGE(B2:B18)</f>
        <v>38.235294117647058</v>
      </c>
      <c r="C21">
        <f t="shared" ref="C21:L21" si="5">AVERAGE(C2:C18)</f>
        <v>44.411764705882355</v>
      </c>
      <c r="D21">
        <f t="shared" si="5"/>
        <v>22.8125</v>
      </c>
      <c r="E21">
        <f t="shared" si="5"/>
        <v>25.294117647058822</v>
      </c>
      <c r="F21">
        <f t="shared" si="5"/>
        <v>34.117647058823529</v>
      </c>
      <c r="G21">
        <f t="shared" si="5"/>
        <v>39.705882352941174</v>
      </c>
      <c r="H21">
        <f t="shared" si="5"/>
        <v>23.125</v>
      </c>
      <c r="I21">
        <f t="shared" si="5"/>
        <v>32.647058823529413</v>
      </c>
      <c r="J21">
        <f t="shared" si="5"/>
        <v>49.411764705882355</v>
      </c>
      <c r="K21">
        <f t="shared" si="5"/>
        <v>42.352941176470587</v>
      </c>
      <c r="L21">
        <f t="shared" si="5"/>
        <v>45</v>
      </c>
    </row>
    <row r="22" spans="1:17">
      <c r="A22" t="s">
        <v>31</v>
      </c>
      <c r="B22">
        <f>MAX(B2:B18)</f>
        <v>100</v>
      </c>
      <c r="C22">
        <f t="shared" ref="C22:L22" si="6">MAX(C2:C18)</f>
        <v>100</v>
      </c>
      <c r="D22">
        <f t="shared" si="6"/>
        <v>75</v>
      </c>
      <c r="E22">
        <f t="shared" si="6"/>
        <v>60</v>
      </c>
      <c r="F22">
        <f t="shared" si="6"/>
        <v>100</v>
      </c>
      <c r="G22">
        <f t="shared" si="6"/>
        <v>100</v>
      </c>
      <c r="H22">
        <f t="shared" si="6"/>
        <v>100</v>
      </c>
      <c r="I22">
        <f t="shared" si="6"/>
        <v>100</v>
      </c>
      <c r="J22">
        <f t="shared" si="6"/>
        <v>100</v>
      </c>
      <c r="K22">
        <f t="shared" si="6"/>
        <v>100</v>
      </c>
      <c r="L22">
        <f t="shared" si="6"/>
        <v>100</v>
      </c>
    </row>
    <row r="23" spans="1:17">
      <c r="A23" t="s">
        <v>30</v>
      </c>
      <c r="B23">
        <f>MIN(B2:B18)</f>
        <v>0</v>
      </c>
      <c r="C23">
        <f t="shared" ref="C23:L23" si="7">MIN(C2:C18)</f>
        <v>0</v>
      </c>
      <c r="D23">
        <f t="shared" si="7"/>
        <v>0</v>
      </c>
      <c r="E23">
        <f t="shared" si="7"/>
        <v>0</v>
      </c>
      <c r="F23">
        <f t="shared" si="7"/>
        <v>0</v>
      </c>
      <c r="G23">
        <f t="shared" si="7"/>
        <v>15</v>
      </c>
      <c r="H23">
        <f t="shared" si="7"/>
        <v>0</v>
      </c>
      <c r="I23">
        <f t="shared" si="7"/>
        <v>0</v>
      </c>
      <c r="J23">
        <f t="shared" si="7"/>
        <v>0</v>
      </c>
      <c r="K23">
        <f t="shared" si="7"/>
        <v>0</v>
      </c>
      <c r="L23">
        <f t="shared" si="7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Q60"/>
  <sheetViews>
    <sheetView topLeftCell="A55" workbookViewId="0">
      <selection activeCell="D37" sqref="D37:D57"/>
    </sheetView>
  </sheetViews>
  <sheetFormatPr defaultRowHeight="14.25"/>
  <cols>
    <col min="1" max="1" width="30.5" bestFit="1" customWidth="1"/>
    <col min="2" max="2" width="12.125" customWidth="1"/>
    <col min="3" max="3" width="9.5" bestFit="1" customWidth="1"/>
    <col min="4" max="4" width="18.25" bestFit="1" customWidth="1"/>
    <col min="5" max="5" width="17.375" customWidth="1"/>
    <col min="6" max="6" width="11" bestFit="1" customWidth="1"/>
    <col min="7" max="7" width="12.375" bestFit="1" customWidth="1"/>
    <col min="8" max="8" width="22.5" customWidth="1"/>
    <col min="9" max="9" width="10.625" bestFit="1" customWidth="1"/>
    <col min="10" max="10" width="11.625" bestFit="1" customWidth="1"/>
    <col min="11" max="11" width="7.25" customWidth="1"/>
    <col min="12" max="12" width="14.5" bestFit="1" customWidth="1"/>
  </cols>
  <sheetData>
    <row r="1" spans="1:17" s="1" customFormat="1" ht="15">
      <c r="A1" s="5"/>
      <c r="B1" s="6" t="s">
        <v>26</v>
      </c>
      <c r="C1" s="6" t="s">
        <v>17</v>
      </c>
      <c r="D1" s="6" t="s">
        <v>18</v>
      </c>
      <c r="E1" s="6" t="s">
        <v>19</v>
      </c>
      <c r="F1" s="6" t="s">
        <v>20</v>
      </c>
      <c r="G1" s="13" t="s">
        <v>21</v>
      </c>
      <c r="H1" s="6" t="s">
        <v>22</v>
      </c>
      <c r="I1" s="6" t="s">
        <v>27</v>
      </c>
      <c r="J1" s="6" t="s">
        <v>23</v>
      </c>
      <c r="K1" s="6" t="s">
        <v>24</v>
      </c>
      <c r="L1" s="5" t="s">
        <v>25</v>
      </c>
      <c r="N1" s="5" t="s">
        <v>32</v>
      </c>
      <c r="O1" s="5" t="s">
        <v>29</v>
      </c>
      <c r="P1" s="5" t="s">
        <v>30</v>
      </c>
      <c r="Q1" s="5" t="s">
        <v>31</v>
      </c>
    </row>
    <row r="2" spans="1:17" ht="15">
      <c r="A2" s="5" t="s">
        <v>52</v>
      </c>
      <c r="B2" s="7">
        <v>0</v>
      </c>
      <c r="C2" s="7">
        <v>0</v>
      </c>
      <c r="D2" s="7">
        <v>10</v>
      </c>
      <c r="E2" s="7">
        <v>0</v>
      </c>
      <c r="F2" s="7">
        <v>100</v>
      </c>
      <c r="G2" s="14">
        <v>65</v>
      </c>
      <c r="H2" s="7">
        <v>100</v>
      </c>
      <c r="I2" s="7">
        <v>30</v>
      </c>
      <c r="J2" s="7">
        <v>0</v>
      </c>
      <c r="K2" s="7">
        <v>0</v>
      </c>
      <c r="L2" s="7">
        <v>10</v>
      </c>
      <c r="N2" s="7">
        <f t="shared" ref="N2:N21" si="0">SUM(B2:L2)</f>
        <v>315</v>
      </c>
      <c r="O2" s="7">
        <f t="shared" ref="O2:O21" si="1">AVERAGE(B2:L2)</f>
        <v>28.636363636363637</v>
      </c>
      <c r="P2" s="7">
        <f t="shared" ref="P2:P21" si="2">MIN(B2:L2)</f>
        <v>0</v>
      </c>
      <c r="Q2" s="7">
        <f t="shared" ref="Q2:Q21" si="3">MAX(B2:L2)</f>
        <v>100</v>
      </c>
    </row>
    <row r="3" spans="1:17" ht="15">
      <c r="A3" s="5" t="s">
        <v>33</v>
      </c>
      <c r="B3" s="7">
        <v>60</v>
      </c>
      <c r="C3" s="7">
        <v>50</v>
      </c>
      <c r="D3" s="7">
        <v>70</v>
      </c>
      <c r="E3" s="7">
        <v>60</v>
      </c>
      <c r="F3" s="7">
        <v>60</v>
      </c>
      <c r="G3" s="14">
        <v>75</v>
      </c>
      <c r="H3" s="7">
        <v>20</v>
      </c>
      <c r="I3" s="7">
        <v>40</v>
      </c>
      <c r="J3" s="7">
        <v>40</v>
      </c>
      <c r="K3" s="7">
        <v>80</v>
      </c>
      <c r="L3" s="7">
        <v>65</v>
      </c>
      <c r="N3" s="7">
        <f t="shared" si="0"/>
        <v>620</v>
      </c>
      <c r="O3" s="7">
        <f t="shared" si="1"/>
        <v>56.363636363636367</v>
      </c>
      <c r="P3" s="7">
        <f t="shared" si="2"/>
        <v>20</v>
      </c>
      <c r="Q3" s="7">
        <f t="shared" si="3"/>
        <v>80</v>
      </c>
    </row>
    <row r="4" spans="1:17" ht="15">
      <c r="A4" s="5" t="s">
        <v>34</v>
      </c>
      <c r="B4" s="7">
        <v>15</v>
      </c>
      <c r="C4" s="7">
        <v>50</v>
      </c>
      <c r="D4" s="7">
        <v>10</v>
      </c>
      <c r="E4" s="7">
        <v>10</v>
      </c>
      <c r="F4" s="7">
        <v>60</v>
      </c>
      <c r="G4" s="14">
        <v>60</v>
      </c>
      <c r="H4" s="7">
        <v>35</v>
      </c>
      <c r="I4" s="7">
        <v>20</v>
      </c>
      <c r="J4" s="7">
        <v>30</v>
      </c>
      <c r="K4" s="7">
        <v>40</v>
      </c>
      <c r="L4" s="7">
        <v>50</v>
      </c>
      <c r="N4" s="7">
        <f t="shared" si="0"/>
        <v>380</v>
      </c>
      <c r="O4" s="7">
        <f t="shared" si="1"/>
        <v>34.545454545454547</v>
      </c>
      <c r="P4" s="7">
        <f t="shared" si="2"/>
        <v>10</v>
      </c>
      <c r="Q4" s="7">
        <f t="shared" si="3"/>
        <v>60</v>
      </c>
    </row>
    <row r="5" spans="1:17" ht="15">
      <c r="A5" s="5" t="s">
        <v>35</v>
      </c>
      <c r="B5" s="7">
        <v>45</v>
      </c>
      <c r="C5" s="7">
        <v>35</v>
      </c>
      <c r="D5" s="7"/>
      <c r="E5" s="7">
        <v>55</v>
      </c>
      <c r="F5" s="7">
        <v>10</v>
      </c>
      <c r="G5" s="14">
        <v>50</v>
      </c>
      <c r="H5" s="7">
        <v>5</v>
      </c>
      <c r="I5" s="7">
        <v>10</v>
      </c>
      <c r="J5" s="7">
        <v>60</v>
      </c>
      <c r="K5" s="7">
        <v>30</v>
      </c>
      <c r="L5" s="7">
        <v>65</v>
      </c>
      <c r="N5" s="7">
        <f t="shared" si="0"/>
        <v>365</v>
      </c>
      <c r="O5" s="7">
        <f t="shared" si="1"/>
        <v>36.5</v>
      </c>
      <c r="P5" s="7">
        <f t="shared" si="2"/>
        <v>5</v>
      </c>
      <c r="Q5" s="7">
        <f t="shared" si="3"/>
        <v>65</v>
      </c>
    </row>
    <row r="6" spans="1:17" ht="15">
      <c r="A6" s="5" t="s">
        <v>36</v>
      </c>
      <c r="B6" s="7">
        <v>25</v>
      </c>
      <c r="C6" s="7">
        <v>65</v>
      </c>
      <c r="D6" s="7">
        <v>75</v>
      </c>
      <c r="E6" s="7">
        <v>40</v>
      </c>
      <c r="F6" s="7">
        <v>80</v>
      </c>
      <c r="G6" s="14">
        <v>25</v>
      </c>
      <c r="H6" s="7">
        <v>25</v>
      </c>
      <c r="I6" s="7">
        <v>45</v>
      </c>
      <c r="J6" s="7">
        <v>30</v>
      </c>
      <c r="K6" s="7">
        <v>40</v>
      </c>
      <c r="L6" s="7">
        <v>35</v>
      </c>
      <c r="N6" s="7">
        <f t="shared" si="0"/>
        <v>485</v>
      </c>
      <c r="O6" s="7">
        <f t="shared" si="1"/>
        <v>44.090909090909093</v>
      </c>
      <c r="P6" s="7">
        <f t="shared" si="2"/>
        <v>25</v>
      </c>
      <c r="Q6" s="7">
        <f t="shared" si="3"/>
        <v>80</v>
      </c>
    </row>
    <row r="7" spans="1:17" ht="15">
      <c r="A7" s="5" t="s">
        <v>37</v>
      </c>
      <c r="B7" s="7">
        <v>40</v>
      </c>
      <c r="C7" s="7">
        <v>45</v>
      </c>
      <c r="D7" s="7">
        <v>35</v>
      </c>
      <c r="E7" s="7">
        <v>45</v>
      </c>
      <c r="F7" s="7">
        <v>20</v>
      </c>
      <c r="G7" s="14">
        <v>25</v>
      </c>
      <c r="H7" s="7">
        <v>5</v>
      </c>
      <c r="I7" s="7">
        <v>20</v>
      </c>
      <c r="J7" s="7">
        <v>50</v>
      </c>
      <c r="K7" s="7">
        <v>45</v>
      </c>
      <c r="L7" s="7">
        <v>70</v>
      </c>
      <c r="N7" s="7">
        <f t="shared" si="0"/>
        <v>400</v>
      </c>
      <c r="O7" s="7">
        <f t="shared" si="1"/>
        <v>36.363636363636367</v>
      </c>
      <c r="P7" s="7">
        <f t="shared" si="2"/>
        <v>5</v>
      </c>
      <c r="Q7" s="7">
        <f t="shared" si="3"/>
        <v>70</v>
      </c>
    </row>
    <row r="8" spans="1:17" ht="15">
      <c r="A8" s="5" t="s">
        <v>38</v>
      </c>
      <c r="B8" s="7">
        <v>60</v>
      </c>
      <c r="C8" s="7">
        <v>40</v>
      </c>
      <c r="D8" s="7">
        <v>30</v>
      </c>
      <c r="E8" s="7">
        <v>45</v>
      </c>
      <c r="F8" s="7">
        <v>10</v>
      </c>
      <c r="G8" s="14">
        <v>20</v>
      </c>
      <c r="H8" s="7">
        <v>5</v>
      </c>
      <c r="I8" s="7">
        <v>30</v>
      </c>
      <c r="J8" s="7">
        <v>75</v>
      </c>
      <c r="K8" s="7">
        <v>50</v>
      </c>
      <c r="L8" s="7">
        <v>85</v>
      </c>
      <c r="N8" s="7">
        <f t="shared" si="0"/>
        <v>450</v>
      </c>
      <c r="O8" s="7">
        <f t="shared" si="1"/>
        <v>40.909090909090907</v>
      </c>
      <c r="P8" s="7">
        <f t="shared" si="2"/>
        <v>5</v>
      </c>
      <c r="Q8" s="7">
        <f t="shared" si="3"/>
        <v>85</v>
      </c>
    </row>
    <row r="9" spans="1:17" ht="15">
      <c r="A9" s="5" t="s">
        <v>39</v>
      </c>
      <c r="B9" s="7">
        <v>65</v>
      </c>
      <c r="C9" s="7">
        <v>50</v>
      </c>
      <c r="D9" s="7">
        <v>25</v>
      </c>
      <c r="E9" s="7">
        <v>45</v>
      </c>
      <c r="F9" s="7">
        <v>10</v>
      </c>
      <c r="G9" s="14">
        <v>20</v>
      </c>
      <c r="H9" s="7">
        <v>5</v>
      </c>
      <c r="I9" s="7">
        <v>20</v>
      </c>
      <c r="J9" s="7">
        <v>80</v>
      </c>
      <c r="K9" s="7">
        <v>65</v>
      </c>
      <c r="L9" s="7">
        <v>90</v>
      </c>
      <c r="N9" s="7">
        <f t="shared" si="0"/>
        <v>475</v>
      </c>
      <c r="O9" s="7">
        <f t="shared" si="1"/>
        <v>43.18181818181818</v>
      </c>
      <c r="P9" s="7">
        <f t="shared" si="2"/>
        <v>5</v>
      </c>
      <c r="Q9" s="7">
        <f t="shared" si="3"/>
        <v>90</v>
      </c>
    </row>
    <row r="10" spans="1:17" ht="15">
      <c r="A10" s="5" t="s">
        <v>40</v>
      </c>
      <c r="B10" s="7">
        <v>10</v>
      </c>
      <c r="C10" s="7">
        <v>0</v>
      </c>
      <c r="D10" s="7">
        <v>0</v>
      </c>
      <c r="E10" s="7">
        <v>0</v>
      </c>
      <c r="F10" s="7">
        <v>10</v>
      </c>
      <c r="G10" s="14">
        <v>20</v>
      </c>
      <c r="H10" s="7">
        <v>5</v>
      </c>
      <c r="I10" s="7">
        <v>0</v>
      </c>
      <c r="J10" s="7">
        <v>30</v>
      </c>
      <c r="K10" s="7">
        <v>0</v>
      </c>
      <c r="L10" s="7">
        <v>20</v>
      </c>
      <c r="N10" s="7">
        <f t="shared" si="0"/>
        <v>95</v>
      </c>
      <c r="O10" s="7">
        <f t="shared" si="1"/>
        <v>8.6363636363636367</v>
      </c>
      <c r="P10" s="7">
        <f t="shared" si="2"/>
        <v>0</v>
      </c>
      <c r="Q10" s="7">
        <f t="shared" si="3"/>
        <v>30</v>
      </c>
    </row>
    <row r="11" spans="1:17" ht="15">
      <c r="A11" s="5" t="s">
        <v>41</v>
      </c>
      <c r="B11" s="7">
        <v>25</v>
      </c>
      <c r="C11" s="7">
        <v>50</v>
      </c>
      <c r="D11" s="7">
        <v>65</v>
      </c>
      <c r="E11" s="7">
        <v>60</v>
      </c>
      <c r="F11" s="7">
        <v>30</v>
      </c>
      <c r="G11" s="14">
        <v>25</v>
      </c>
      <c r="H11" s="7">
        <v>15</v>
      </c>
      <c r="I11" s="7">
        <v>65</v>
      </c>
      <c r="J11" s="7">
        <v>50</v>
      </c>
      <c r="K11" s="7">
        <v>55</v>
      </c>
      <c r="L11" s="7">
        <v>75</v>
      </c>
      <c r="N11" s="7">
        <f t="shared" si="0"/>
        <v>515</v>
      </c>
      <c r="O11" s="7">
        <f t="shared" si="1"/>
        <v>46.81818181818182</v>
      </c>
      <c r="P11" s="7">
        <f t="shared" si="2"/>
        <v>15</v>
      </c>
      <c r="Q11" s="7">
        <f t="shared" si="3"/>
        <v>75</v>
      </c>
    </row>
    <row r="12" spans="1:17" ht="15">
      <c r="A12" s="10" t="s">
        <v>42</v>
      </c>
      <c r="B12" s="8">
        <v>100</v>
      </c>
      <c r="C12" s="8">
        <v>75</v>
      </c>
      <c r="D12" s="8">
        <v>0</v>
      </c>
      <c r="E12" s="8">
        <v>0</v>
      </c>
      <c r="F12" s="8">
        <v>0</v>
      </c>
      <c r="G12" s="14">
        <v>100</v>
      </c>
      <c r="H12" s="8"/>
      <c r="I12" s="8">
        <v>100</v>
      </c>
      <c r="J12" s="8">
        <v>100</v>
      </c>
      <c r="K12" s="8">
        <v>100</v>
      </c>
      <c r="L12" s="8">
        <v>100</v>
      </c>
      <c r="M12" s="9"/>
      <c r="N12" s="8">
        <f t="shared" si="0"/>
        <v>675</v>
      </c>
      <c r="O12" s="8">
        <f t="shared" si="1"/>
        <v>67.5</v>
      </c>
      <c r="P12" s="8">
        <f t="shared" si="2"/>
        <v>0</v>
      </c>
      <c r="Q12" s="8">
        <f t="shared" si="3"/>
        <v>100</v>
      </c>
    </row>
    <row r="13" spans="1:17" ht="15">
      <c r="A13" s="5" t="s">
        <v>43</v>
      </c>
      <c r="B13" s="7">
        <v>100</v>
      </c>
      <c r="C13" s="7">
        <v>100</v>
      </c>
      <c r="D13" s="7">
        <v>20</v>
      </c>
      <c r="E13" s="7">
        <v>40</v>
      </c>
      <c r="F13" s="7">
        <v>10</v>
      </c>
      <c r="G13" s="14">
        <v>60</v>
      </c>
      <c r="H13" s="7">
        <v>5</v>
      </c>
      <c r="I13" s="7">
        <v>20</v>
      </c>
      <c r="J13" s="7">
        <v>100</v>
      </c>
      <c r="K13" s="7">
        <v>85</v>
      </c>
      <c r="L13" s="7">
        <v>0</v>
      </c>
      <c r="N13" s="7">
        <f t="shared" si="0"/>
        <v>540</v>
      </c>
      <c r="O13" s="7">
        <f t="shared" si="1"/>
        <v>49.090909090909093</v>
      </c>
      <c r="P13" s="7">
        <f t="shared" si="2"/>
        <v>0</v>
      </c>
      <c r="Q13" s="7">
        <f t="shared" si="3"/>
        <v>100</v>
      </c>
    </row>
    <row r="14" spans="1:17" ht="15">
      <c r="A14" s="5" t="s">
        <v>44</v>
      </c>
      <c r="B14" s="7">
        <v>15</v>
      </c>
      <c r="C14" s="7">
        <v>50</v>
      </c>
      <c r="D14" s="7">
        <v>10</v>
      </c>
      <c r="E14" s="7">
        <v>20</v>
      </c>
      <c r="F14" s="7">
        <v>20</v>
      </c>
      <c r="G14" s="14">
        <v>15</v>
      </c>
      <c r="H14" s="7">
        <v>5</v>
      </c>
      <c r="I14" s="7">
        <v>10</v>
      </c>
      <c r="J14" s="7">
        <v>75</v>
      </c>
      <c r="K14" s="7">
        <v>10</v>
      </c>
      <c r="L14" s="7">
        <v>20</v>
      </c>
      <c r="N14" s="7">
        <f t="shared" si="0"/>
        <v>250</v>
      </c>
      <c r="O14" s="7">
        <f t="shared" si="1"/>
        <v>22.727272727272727</v>
      </c>
      <c r="P14" s="7">
        <f t="shared" si="2"/>
        <v>5</v>
      </c>
      <c r="Q14" s="7">
        <f t="shared" si="3"/>
        <v>75</v>
      </c>
    </row>
    <row r="15" spans="1:17" ht="15">
      <c r="A15" s="5" t="s">
        <v>45</v>
      </c>
      <c r="B15" s="7">
        <v>50</v>
      </c>
      <c r="C15" s="7">
        <v>35</v>
      </c>
      <c r="D15" s="7">
        <v>5</v>
      </c>
      <c r="E15" s="7">
        <v>10</v>
      </c>
      <c r="F15" s="7">
        <v>20</v>
      </c>
      <c r="G15" s="14">
        <v>25</v>
      </c>
      <c r="H15" s="7">
        <v>0</v>
      </c>
      <c r="I15" s="7">
        <v>100</v>
      </c>
      <c r="J15" s="7">
        <v>55</v>
      </c>
      <c r="K15" s="7">
        <v>60</v>
      </c>
      <c r="L15" s="7">
        <v>25</v>
      </c>
      <c r="N15" s="7">
        <f t="shared" si="0"/>
        <v>385</v>
      </c>
      <c r="O15" s="7">
        <f t="shared" si="1"/>
        <v>35</v>
      </c>
      <c r="P15" s="7">
        <f t="shared" si="2"/>
        <v>0</v>
      </c>
      <c r="Q15" s="7">
        <f t="shared" si="3"/>
        <v>100</v>
      </c>
    </row>
    <row r="16" spans="1:17" ht="15">
      <c r="A16" s="5" t="s">
        <v>46</v>
      </c>
      <c r="B16" s="7">
        <v>0</v>
      </c>
      <c r="C16" s="7">
        <v>0</v>
      </c>
      <c r="D16" s="7">
        <v>0</v>
      </c>
      <c r="E16" s="7">
        <v>0</v>
      </c>
      <c r="F16" s="7">
        <v>65</v>
      </c>
      <c r="G16" s="14">
        <v>20</v>
      </c>
      <c r="H16" s="7">
        <v>75</v>
      </c>
      <c r="I16" s="7">
        <v>20</v>
      </c>
      <c r="J16" s="7">
        <v>20</v>
      </c>
      <c r="K16" s="7">
        <v>10</v>
      </c>
      <c r="L16" s="7">
        <v>0</v>
      </c>
      <c r="N16" s="7">
        <f t="shared" si="0"/>
        <v>210</v>
      </c>
      <c r="O16" s="7">
        <f t="shared" si="1"/>
        <v>19.09090909090909</v>
      </c>
      <c r="P16" s="7">
        <f t="shared" si="2"/>
        <v>0</v>
      </c>
      <c r="Q16" s="7">
        <f t="shared" si="3"/>
        <v>75</v>
      </c>
    </row>
    <row r="17" spans="1:17" ht="15">
      <c r="A17" s="5" t="s">
        <v>47</v>
      </c>
      <c r="B17" s="7">
        <v>10</v>
      </c>
      <c r="C17" s="7">
        <v>45</v>
      </c>
      <c r="D17" s="7">
        <v>0</v>
      </c>
      <c r="E17" s="7">
        <v>0</v>
      </c>
      <c r="F17" s="7">
        <v>35</v>
      </c>
      <c r="G17" s="14">
        <v>30</v>
      </c>
      <c r="H17" s="7">
        <v>20</v>
      </c>
      <c r="I17" s="7">
        <v>15</v>
      </c>
      <c r="J17" s="7">
        <v>15</v>
      </c>
      <c r="K17" s="7">
        <v>25</v>
      </c>
      <c r="L17" s="7">
        <v>30</v>
      </c>
      <c r="N17" s="7">
        <f t="shared" si="0"/>
        <v>225</v>
      </c>
      <c r="O17" s="7">
        <f t="shared" si="1"/>
        <v>20.454545454545453</v>
      </c>
      <c r="P17" s="7">
        <f t="shared" si="2"/>
        <v>0</v>
      </c>
      <c r="Q17" s="7">
        <f t="shared" si="3"/>
        <v>45</v>
      </c>
    </row>
    <row r="18" spans="1:17" ht="15">
      <c r="A18" s="5" t="s">
        <v>48</v>
      </c>
      <c r="B18" s="7">
        <v>60</v>
      </c>
      <c r="C18" s="7">
        <v>65</v>
      </c>
      <c r="D18" s="7">
        <v>10</v>
      </c>
      <c r="E18" s="7">
        <v>0</v>
      </c>
      <c r="F18" s="7">
        <v>40</v>
      </c>
      <c r="G18" s="14">
        <v>40</v>
      </c>
      <c r="H18" s="7">
        <v>45</v>
      </c>
      <c r="I18" s="7">
        <v>10</v>
      </c>
      <c r="J18" s="7">
        <v>30</v>
      </c>
      <c r="K18" s="7">
        <v>25</v>
      </c>
      <c r="L18" s="7">
        <v>25</v>
      </c>
      <c r="N18" s="7">
        <f t="shared" si="0"/>
        <v>350</v>
      </c>
      <c r="O18" s="7">
        <f t="shared" si="1"/>
        <v>31.818181818181817</v>
      </c>
      <c r="P18" s="7">
        <f t="shared" si="2"/>
        <v>0</v>
      </c>
      <c r="Q18" s="7">
        <f t="shared" si="3"/>
        <v>65</v>
      </c>
    </row>
    <row r="19" spans="1:17" ht="15">
      <c r="A19" s="5" t="s">
        <v>49</v>
      </c>
      <c r="B19" s="7">
        <v>60</v>
      </c>
      <c r="C19" s="7">
        <v>65</v>
      </c>
      <c r="D19" s="7">
        <v>10</v>
      </c>
      <c r="E19" s="7">
        <v>0</v>
      </c>
      <c r="F19" s="7">
        <v>40</v>
      </c>
      <c r="G19" s="14">
        <v>40</v>
      </c>
      <c r="H19" s="7">
        <v>45</v>
      </c>
      <c r="I19" s="7">
        <v>10</v>
      </c>
      <c r="J19" s="7">
        <v>30</v>
      </c>
      <c r="K19" s="7">
        <v>25</v>
      </c>
      <c r="L19" s="7">
        <v>25</v>
      </c>
      <c r="N19" s="7">
        <f t="shared" si="0"/>
        <v>350</v>
      </c>
      <c r="O19" s="7">
        <f t="shared" si="1"/>
        <v>31.818181818181817</v>
      </c>
      <c r="P19" s="7">
        <f t="shared" si="2"/>
        <v>0</v>
      </c>
      <c r="Q19" s="7">
        <f t="shared" si="3"/>
        <v>65</v>
      </c>
    </row>
    <row r="20" spans="1:17" ht="15">
      <c r="A20" s="5" t="s">
        <v>50</v>
      </c>
      <c r="B20" s="7">
        <v>60</v>
      </c>
      <c r="C20" s="7">
        <v>65</v>
      </c>
      <c r="D20" s="7">
        <v>10</v>
      </c>
      <c r="E20" s="7">
        <v>0</v>
      </c>
      <c r="F20" s="7">
        <v>40</v>
      </c>
      <c r="G20" s="14">
        <v>40</v>
      </c>
      <c r="H20" s="7">
        <v>45</v>
      </c>
      <c r="I20" s="7">
        <v>10</v>
      </c>
      <c r="J20" s="7">
        <v>30</v>
      </c>
      <c r="K20" s="7">
        <v>25</v>
      </c>
      <c r="L20" s="7">
        <v>25</v>
      </c>
      <c r="N20" s="7">
        <f t="shared" si="0"/>
        <v>350</v>
      </c>
      <c r="O20" s="7">
        <f t="shared" si="1"/>
        <v>31.818181818181817</v>
      </c>
      <c r="P20" s="7">
        <f t="shared" si="2"/>
        <v>0</v>
      </c>
      <c r="Q20" s="7">
        <f t="shared" si="3"/>
        <v>65</v>
      </c>
    </row>
    <row r="21" spans="1:17" ht="15">
      <c r="A21" s="5" t="s">
        <v>51</v>
      </c>
      <c r="B21" s="7">
        <v>25</v>
      </c>
      <c r="C21" s="7">
        <v>50</v>
      </c>
      <c r="D21" s="7">
        <v>70</v>
      </c>
      <c r="E21" s="7">
        <v>60</v>
      </c>
      <c r="F21" s="7">
        <v>60</v>
      </c>
      <c r="G21" s="14">
        <v>75</v>
      </c>
      <c r="H21" s="7">
        <v>20</v>
      </c>
      <c r="I21" s="7">
        <v>40</v>
      </c>
      <c r="J21" s="7">
        <v>40</v>
      </c>
      <c r="K21" s="7">
        <v>80</v>
      </c>
      <c r="L21" s="7">
        <v>65</v>
      </c>
      <c r="N21" s="7">
        <f t="shared" si="0"/>
        <v>585</v>
      </c>
      <c r="O21" s="7">
        <f t="shared" si="1"/>
        <v>53.18181818181818</v>
      </c>
      <c r="P21" s="7">
        <f t="shared" si="2"/>
        <v>20</v>
      </c>
      <c r="Q21" s="7">
        <f t="shared" si="3"/>
        <v>80</v>
      </c>
    </row>
    <row r="22" spans="1:17">
      <c r="C22" t="s">
        <v>60</v>
      </c>
      <c r="E22" t="s">
        <v>60</v>
      </c>
      <c r="F22" t="s">
        <v>60</v>
      </c>
      <c r="I22" t="s">
        <v>61</v>
      </c>
      <c r="L22" t="s">
        <v>62</v>
      </c>
    </row>
    <row r="24" spans="1:17" ht="15" thickBo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7" ht="15.75" thickTop="1">
      <c r="A25" s="1" t="s">
        <v>28</v>
      </c>
      <c r="B25">
        <f>SUM(B2:B21)</f>
        <v>825</v>
      </c>
      <c r="C25">
        <f t="shared" ref="C25:L25" si="4">SUM(C2:C21)</f>
        <v>935</v>
      </c>
      <c r="D25">
        <f t="shared" si="4"/>
        <v>455</v>
      </c>
      <c r="E25">
        <f t="shared" si="4"/>
        <v>490</v>
      </c>
      <c r="F25">
        <f t="shared" si="4"/>
        <v>720</v>
      </c>
      <c r="G25">
        <f t="shared" si="4"/>
        <v>830</v>
      </c>
      <c r="H25">
        <f t="shared" si="4"/>
        <v>480</v>
      </c>
      <c r="I25">
        <f t="shared" si="4"/>
        <v>615</v>
      </c>
      <c r="J25">
        <f t="shared" si="4"/>
        <v>940</v>
      </c>
      <c r="K25">
        <f t="shared" si="4"/>
        <v>850</v>
      </c>
      <c r="L25">
        <f t="shared" si="4"/>
        <v>880</v>
      </c>
    </row>
    <row r="26" spans="1:17" ht="15">
      <c r="A26" s="1" t="s">
        <v>29</v>
      </c>
      <c r="B26">
        <f>AVERAGE(B2:B21)</f>
        <v>41.25</v>
      </c>
      <c r="C26">
        <f t="shared" ref="C26:L26" si="5">AVERAGE(C2:C21)</f>
        <v>46.75</v>
      </c>
      <c r="D26">
        <f t="shared" si="5"/>
        <v>23.94736842105263</v>
      </c>
      <c r="E26">
        <f t="shared" si="5"/>
        <v>24.5</v>
      </c>
      <c r="F26">
        <f t="shared" si="5"/>
        <v>36</v>
      </c>
      <c r="G26">
        <f t="shared" si="5"/>
        <v>41.5</v>
      </c>
      <c r="H26">
        <f t="shared" si="5"/>
        <v>25.263157894736842</v>
      </c>
      <c r="I26">
        <f t="shared" si="5"/>
        <v>30.75</v>
      </c>
      <c r="J26">
        <f t="shared" si="5"/>
        <v>47</v>
      </c>
      <c r="K26">
        <f t="shared" si="5"/>
        <v>42.5</v>
      </c>
      <c r="L26">
        <f t="shared" si="5"/>
        <v>44</v>
      </c>
    </row>
    <row r="27" spans="1:17" ht="15">
      <c r="A27" s="1" t="s">
        <v>31</v>
      </c>
      <c r="B27">
        <f>MAX(B2:B21)</f>
        <v>100</v>
      </c>
      <c r="C27">
        <f t="shared" ref="C27:L27" si="6">MAX(C2:C21)</f>
        <v>100</v>
      </c>
      <c r="D27">
        <f t="shared" si="6"/>
        <v>75</v>
      </c>
      <c r="E27">
        <f t="shared" si="6"/>
        <v>60</v>
      </c>
      <c r="F27">
        <f t="shared" si="6"/>
        <v>100</v>
      </c>
      <c r="G27">
        <f t="shared" si="6"/>
        <v>100</v>
      </c>
      <c r="H27">
        <f t="shared" si="6"/>
        <v>100</v>
      </c>
      <c r="I27">
        <f t="shared" si="6"/>
        <v>100</v>
      </c>
      <c r="J27">
        <f t="shared" si="6"/>
        <v>100</v>
      </c>
      <c r="K27">
        <f t="shared" si="6"/>
        <v>100</v>
      </c>
      <c r="L27">
        <f t="shared" si="6"/>
        <v>100</v>
      </c>
    </row>
    <row r="28" spans="1:17" ht="15">
      <c r="A28" s="1" t="s">
        <v>30</v>
      </c>
      <c r="B28">
        <f>MIN(B2:B21)</f>
        <v>0</v>
      </c>
      <c r="C28">
        <f t="shared" ref="C28:L28" si="7">MIN(C2:C21)</f>
        <v>0</v>
      </c>
      <c r="D28">
        <f t="shared" si="7"/>
        <v>0</v>
      </c>
      <c r="E28">
        <f t="shared" si="7"/>
        <v>0</v>
      </c>
      <c r="F28">
        <f t="shared" si="7"/>
        <v>0</v>
      </c>
      <c r="G28">
        <f t="shared" si="7"/>
        <v>15</v>
      </c>
      <c r="H28">
        <f t="shared" si="7"/>
        <v>0</v>
      </c>
      <c r="I28">
        <f t="shared" si="7"/>
        <v>0</v>
      </c>
      <c r="J28">
        <f t="shared" si="7"/>
        <v>0</v>
      </c>
      <c r="K28">
        <f t="shared" si="7"/>
        <v>0</v>
      </c>
      <c r="L28">
        <f t="shared" si="7"/>
        <v>0</v>
      </c>
    </row>
    <row r="30" spans="1:17">
      <c r="A30" s="9"/>
      <c r="B30" t="s">
        <v>53</v>
      </c>
    </row>
    <row r="34" spans="1:13">
      <c r="E34">
        <f>(C3 -L3) / G3</f>
        <v>-0.2</v>
      </c>
    </row>
    <row r="37" spans="1:13" ht="15">
      <c r="A37" s="5"/>
      <c r="B37" s="6" t="s">
        <v>59</v>
      </c>
      <c r="C37" s="5" t="s">
        <v>54</v>
      </c>
      <c r="D37" s="5" t="s">
        <v>58</v>
      </c>
      <c r="E37" s="5" t="s">
        <v>55</v>
      </c>
    </row>
    <row r="38" spans="1:13" ht="15">
      <c r="A38" s="5" t="s">
        <v>52</v>
      </c>
      <c r="B38" s="11">
        <f>(B2)</f>
        <v>0</v>
      </c>
      <c r="C38" s="7">
        <f>(B2+J2)/2</f>
        <v>0</v>
      </c>
      <c r="D38" s="7">
        <f>(D2+K2)/2</f>
        <v>5</v>
      </c>
      <c r="E38" s="11">
        <f>$B$38*((100-$D$2)/100)</f>
        <v>0</v>
      </c>
      <c r="F38" s="16">
        <f>((C2-L2)/G2)</f>
        <v>-0.15384615384615385</v>
      </c>
      <c r="G38" s="15">
        <f>(1-F38)/10</f>
        <v>0.11538461538461538</v>
      </c>
      <c r="H38" s="11">
        <f>($B$38*((100-$D$2)/100))*(1+G38)</f>
        <v>0</v>
      </c>
      <c r="M38" s="7" t="s">
        <v>63</v>
      </c>
    </row>
    <row r="39" spans="1:13" ht="15">
      <c r="A39" s="5" t="s">
        <v>33</v>
      </c>
      <c r="B39" s="11">
        <f>(B2/2)+B3</f>
        <v>60</v>
      </c>
      <c r="C39" s="7">
        <f t="shared" ref="C39:C57" si="8">(B3+J3)/2</f>
        <v>50</v>
      </c>
      <c r="D39" s="7">
        <f t="shared" ref="D39:D57" si="9">(D3+K3)/2</f>
        <v>75</v>
      </c>
      <c r="E39" s="11">
        <f>$B$39*((100-$D$3)/100)</f>
        <v>18</v>
      </c>
      <c r="F39" s="16">
        <f t="shared" ref="F39:F57" si="10">((C3-L3)/G3)</f>
        <v>-0.2</v>
      </c>
      <c r="G39" s="15">
        <f t="shared" ref="G39:G57" si="11">(1-F39)/10</f>
        <v>0.12</v>
      </c>
      <c r="H39" s="11">
        <f>B39*((100-D3)/100)*(1+G39)</f>
        <v>20.160000000000004</v>
      </c>
      <c r="M39" s="7">
        <f>100-B2</f>
        <v>100</v>
      </c>
    </row>
    <row r="40" spans="1:13" ht="15">
      <c r="A40" s="5" t="s">
        <v>34</v>
      </c>
      <c r="B40" s="11">
        <f>(B2/2)+B4</f>
        <v>15</v>
      </c>
      <c r="C40" s="7">
        <f t="shared" si="8"/>
        <v>22.5</v>
      </c>
      <c r="D40" s="7">
        <f t="shared" si="9"/>
        <v>25</v>
      </c>
      <c r="E40" s="11">
        <f>$B$40*((100-$D$4)/100)</f>
        <v>13.5</v>
      </c>
      <c r="F40" s="16">
        <f t="shared" si="10"/>
        <v>0</v>
      </c>
      <c r="G40" s="15">
        <f t="shared" si="11"/>
        <v>0.1</v>
      </c>
      <c r="H40" s="11">
        <f>B40*((100-D4)/100)*(1+G40)</f>
        <v>14.850000000000001</v>
      </c>
      <c r="M40" s="7">
        <f t="shared" ref="M40:M57" si="12">100-B3</f>
        <v>40</v>
      </c>
    </row>
    <row r="41" spans="1:13" ht="15">
      <c r="A41" s="5" t="s">
        <v>35</v>
      </c>
      <c r="B41" s="11">
        <f>(B40/2)+(B39/2)+B5</f>
        <v>82.5</v>
      </c>
      <c r="C41" s="7">
        <f t="shared" si="8"/>
        <v>52.5</v>
      </c>
      <c r="D41" s="7">
        <f t="shared" si="9"/>
        <v>15</v>
      </c>
      <c r="E41" s="11">
        <f>((E40/2)+(E39/2)+$B$5)*((100-$D$5)/100)</f>
        <v>60.75</v>
      </c>
      <c r="F41" s="16">
        <f t="shared" si="10"/>
        <v>-0.6</v>
      </c>
      <c r="G41" s="15">
        <f t="shared" si="11"/>
        <v>0.16</v>
      </c>
      <c r="H41" s="11">
        <f>(((H40/2)+(H39/2)+B5)*((100-D5)/100))*(1+G41)</f>
        <v>72.505799999999994</v>
      </c>
      <c r="M41" s="7">
        <f t="shared" si="12"/>
        <v>85</v>
      </c>
    </row>
    <row r="42" spans="1:13" ht="15">
      <c r="A42" s="5" t="s">
        <v>36</v>
      </c>
      <c r="B42" s="11">
        <f>(B56/3)+(B41/3)+(B57/4)+B6</f>
        <v>97.291666666666671</v>
      </c>
      <c r="C42" s="7">
        <f t="shared" si="8"/>
        <v>27.5</v>
      </c>
      <c r="D42" s="7">
        <f t="shared" si="9"/>
        <v>57.5</v>
      </c>
      <c r="E42" s="11">
        <f>((E56/3)+(E41/3)+(E57/4)+$B$6)*((100-$D$6)/100)</f>
        <v>18.685937499999998</v>
      </c>
      <c r="F42" s="16">
        <f t="shared" si="10"/>
        <v>1.2</v>
      </c>
      <c r="G42" s="15">
        <f t="shared" si="11"/>
        <v>-1.9999999999999997E-2</v>
      </c>
      <c r="H42" s="11">
        <f>(((H56/3)+(H41/3)+(H57/4)+B6)*((100-D6)/100))*(1+G42)</f>
        <v>19.790326388</v>
      </c>
      <c r="M42" s="7">
        <f t="shared" si="12"/>
        <v>55</v>
      </c>
    </row>
    <row r="43" spans="1:13" ht="15">
      <c r="A43" s="5" t="s">
        <v>37</v>
      </c>
      <c r="B43" s="11">
        <f>(B56/3)+B42+(B57/4)+B7</f>
        <v>182.08333333333334</v>
      </c>
      <c r="C43" s="7">
        <f t="shared" si="8"/>
        <v>45</v>
      </c>
      <c r="D43" s="7">
        <f t="shared" si="9"/>
        <v>40</v>
      </c>
      <c r="E43" s="11">
        <f>((E56/3)+E42+(E57/4)+$B$7)*((100-$D$7)/100)</f>
        <v>57.316796875000001</v>
      </c>
      <c r="F43" s="16">
        <f t="shared" si="10"/>
        <v>-1</v>
      </c>
      <c r="G43" s="15">
        <f t="shared" si="11"/>
        <v>0.2</v>
      </c>
      <c r="H43" s="11">
        <f>((H56/3)+H42+(H57/4)+B7)*((100-D7)/100)*(1+G43)</f>
        <v>71.290883654640012</v>
      </c>
      <c r="M43" s="7">
        <f t="shared" si="12"/>
        <v>75</v>
      </c>
    </row>
    <row r="44" spans="1:13" ht="15">
      <c r="A44" s="5" t="s">
        <v>38</v>
      </c>
      <c r="B44" s="11">
        <f>(B54/5)+(B43)+(B57/4)+B8</f>
        <v>286.20833333333337</v>
      </c>
      <c r="C44" s="7">
        <f t="shared" si="8"/>
        <v>67.5</v>
      </c>
      <c r="D44" s="7">
        <f t="shared" si="9"/>
        <v>40</v>
      </c>
      <c r="E44" s="11">
        <f>((E54/5)+(E43)+(E57/4)+$B$8)*((100-$D$8)/100)</f>
        <v>103.0193828125</v>
      </c>
      <c r="F44" s="16">
        <f t="shared" si="10"/>
        <v>-2.25</v>
      </c>
      <c r="G44" s="15">
        <f t="shared" si="11"/>
        <v>0.32500000000000001</v>
      </c>
      <c r="H44" s="11">
        <f>((H54/5)+(H43)+(H57/4)+B8)*((100-D8)/100)*(1+G44)</f>
        <v>150.91157173567859</v>
      </c>
      <c r="M44" s="7">
        <f t="shared" si="12"/>
        <v>60</v>
      </c>
    </row>
    <row r="45" spans="1:13" ht="15">
      <c r="A45" s="5" t="s">
        <v>39</v>
      </c>
      <c r="B45" s="11">
        <f>(B54/5)+B44+(B47/3)+B9</f>
        <v>394.91666666666669</v>
      </c>
      <c r="C45" s="7">
        <f t="shared" si="8"/>
        <v>72.5</v>
      </c>
      <c r="D45" s="7">
        <f t="shared" si="9"/>
        <v>45</v>
      </c>
      <c r="E45" s="11">
        <f>((E54/5)+E44+(E47/3)+$B$9)*((100-$D$9)/100)</f>
        <v>148.34399023437498</v>
      </c>
      <c r="F45" s="16">
        <f t="shared" si="10"/>
        <v>-2</v>
      </c>
      <c r="G45" s="15">
        <f t="shared" si="11"/>
        <v>0.3</v>
      </c>
      <c r="H45" s="11">
        <f>((H54/5)+H44+(H47/3)+B9)*((100-D9)/100)*(1+G45)</f>
        <v>241.09472640988662</v>
      </c>
      <c r="M45" s="7">
        <f t="shared" si="12"/>
        <v>40</v>
      </c>
    </row>
    <row r="46" spans="1:13" ht="15">
      <c r="A46" s="5" t="s">
        <v>40</v>
      </c>
      <c r="B46" s="11">
        <f>(B54/5)+B45+(B47/3)+B10</f>
        <v>448.625</v>
      </c>
      <c r="C46" s="7">
        <f t="shared" si="8"/>
        <v>20</v>
      </c>
      <c r="D46" s="7">
        <f t="shared" si="9"/>
        <v>0</v>
      </c>
      <c r="E46" s="11">
        <f>((E54/5)+E45+(E47/3)+$B$10)*((100-$D$10)/100)</f>
        <v>188.11659440104165</v>
      </c>
      <c r="F46" s="16">
        <f t="shared" si="10"/>
        <v>-1</v>
      </c>
      <c r="G46" s="15">
        <f t="shared" si="11"/>
        <v>0.2</v>
      </c>
      <c r="H46" s="11">
        <f>((H54/5)+H45+(H47/3)+B10)*((100-D10)/100)*(1+G46)</f>
        <v>338.95175657506394</v>
      </c>
      <c r="M46" s="7">
        <f t="shared" si="12"/>
        <v>35</v>
      </c>
    </row>
    <row r="47" spans="1:13" ht="15">
      <c r="A47" s="5" t="s">
        <v>41</v>
      </c>
      <c r="B47" s="11">
        <f>(B57/4)+B11</f>
        <v>38.125</v>
      </c>
      <c r="C47" s="7">
        <f t="shared" si="8"/>
        <v>37.5</v>
      </c>
      <c r="D47" s="7">
        <f t="shared" si="9"/>
        <v>60</v>
      </c>
      <c r="E47" s="11">
        <f>((E57/4)+$B$11)*((100-$D$11)/100)</f>
        <v>9.9378124999999997</v>
      </c>
      <c r="F47" s="16">
        <f t="shared" si="10"/>
        <v>-1</v>
      </c>
      <c r="G47" s="15">
        <f t="shared" si="11"/>
        <v>0.2</v>
      </c>
      <c r="H47" s="11">
        <f>((H57/4)+B11)*((100-D11)/100)*(1+G47)</f>
        <v>12.234668208</v>
      </c>
      <c r="M47" s="7">
        <f t="shared" si="12"/>
        <v>90</v>
      </c>
    </row>
    <row r="48" spans="1:13" ht="15">
      <c r="A48" s="10" t="s">
        <v>42</v>
      </c>
      <c r="B48" s="12">
        <v>100</v>
      </c>
      <c r="C48" s="7">
        <f t="shared" si="8"/>
        <v>100</v>
      </c>
      <c r="D48" s="7">
        <f t="shared" si="9"/>
        <v>50</v>
      </c>
      <c r="E48" s="11">
        <f>B48*((100-D12)/100)</f>
        <v>100</v>
      </c>
      <c r="F48" s="16">
        <f t="shared" si="10"/>
        <v>-0.25</v>
      </c>
      <c r="G48" s="15">
        <f t="shared" si="11"/>
        <v>0.125</v>
      </c>
      <c r="H48" s="11">
        <f>E48*((100-G12)/100)*(1+G48)</f>
        <v>0</v>
      </c>
      <c r="M48" s="7">
        <f t="shared" si="12"/>
        <v>75</v>
      </c>
    </row>
    <row r="49" spans="1:13" ht="15">
      <c r="A49" s="5" t="s">
        <v>43</v>
      </c>
      <c r="B49" s="11">
        <f>(B46)+(B54/5)+B13</f>
        <v>579.625</v>
      </c>
      <c r="C49" s="7">
        <f t="shared" si="8"/>
        <v>100</v>
      </c>
      <c r="D49" s="7">
        <f t="shared" si="9"/>
        <v>52.5</v>
      </c>
      <c r="E49" s="11">
        <f>((E46)+(E54/5)+$B$13)*((100-$D$13)/100)</f>
        <v>251.66127552083336</v>
      </c>
      <c r="F49" s="16">
        <f t="shared" si="10"/>
        <v>1.6666666666666667</v>
      </c>
      <c r="G49" s="15">
        <f t="shared" si="11"/>
        <v>-6.666666666666668E-2</v>
      </c>
      <c r="H49" s="11">
        <f>((H46)+(H54/5)+B13)*((100-D13)/100)*(1+G49)</f>
        <v>348.1248247493811</v>
      </c>
      <c r="M49" s="7">
        <f t="shared" si="12"/>
        <v>0</v>
      </c>
    </row>
    <row r="50" spans="1:13" ht="15">
      <c r="A50" s="5" t="s">
        <v>44</v>
      </c>
      <c r="B50" s="11">
        <f>(B49)+(B53/2)+B17</f>
        <v>610.125</v>
      </c>
      <c r="C50" s="7">
        <f t="shared" si="8"/>
        <v>45</v>
      </c>
      <c r="D50" s="7">
        <f t="shared" si="9"/>
        <v>10</v>
      </c>
      <c r="E50" s="11">
        <f>((E49)+(E53/2)+$B$17)*((100-$D$14)/100)</f>
        <v>251.90214796875003</v>
      </c>
      <c r="F50" s="16">
        <f t="shared" si="10"/>
        <v>2</v>
      </c>
      <c r="G50" s="15">
        <f t="shared" si="11"/>
        <v>-0.1</v>
      </c>
      <c r="H50" s="11">
        <f>((H49)+(H53/2)+B17)*((100-D14)/100)*(1+G50)</f>
        <v>305.93734015899872</v>
      </c>
      <c r="M50" s="7">
        <f t="shared" si="12"/>
        <v>0</v>
      </c>
    </row>
    <row r="51" spans="1:13" ht="15">
      <c r="A51" s="5" t="s">
        <v>45</v>
      </c>
      <c r="B51" s="11">
        <f>(B55+B15)</f>
        <v>753.33333333333337</v>
      </c>
      <c r="C51" s="7">
        <f t="shared" si="8"/>
        <v>52.5</v>
      </c>
      <c r="D51" s="7">
        <f t="shared" si="9"/>
        <v>32.5</v>
      </c>
      <c r="E51" s="11">
        <f>(E55+$B$15)*((100-$D$15)/100)</f>
        <v>332.59526307578125</v>
      </c>
      <c r="F51" s="16">
        <f t="shared" si="10"/>
        <v>0.4</v>
      </c>
      <c r="G51" s="15">
        <f t="shared" si="11"/>
        <v>0.06</v>
      </c>
      <c r="H51" s="11">
        <f>(H55+B15)*((100-D15)/100)*(1+G51)</f>
        <v>403.43646658149737</v>
      </c>
      <c r="M51" s="7">
        <f t="shared" si="12"/>
        <v>85</v>
      </c>
    </row>
    <row r="52" spans="1:13" ht="15">
      <c r="A52" s="5" t="s">
        <v>46</v>
      </c>
      <c r="B52" s="11">
        <f>(B51+B16)</f>
        <v>753.33333333333337</v>
      </c>
      <c r="C52" s="7">
        <f t="shared" si="8"/>
        <v>10</v>
      </c>
      <c r="D52" s="7">
        <f t="shared" si="9"/>
        <v>5</v>
      </c>
      <c r="E52" s="11">
        <f>(E51+$B$16)*((100-$D$16)/100)</f>
        <v>332.59526307578125</v>
      </c>
      <c r="F52" s="16">
        <f t="shared" si="10"/>
        <v>0</v>
      </c>
      <c r="G52" s="15">
        <f t="shared" si="11"/>
        <v>0.1</v>
      </c>
      <c r="H52" s="11">
        <f>(H51+B16)*((100-D16)/100)*(1+G52)</f>
        <v>443.78011323964716</v>
      </c>
      <c r="M52" s="7">
        <f t="shared" si="12"/>
        <v>50</v>
      </c>
    </row>
    <row r="53" spans="1:13" ht="15">
      <c r="A53" s="5" t="s">
        <v>47</v>
      </c>
      <c r="B53" s="11">
        <f>(B54/5)+B17</f>
        <v>41</v>
      </c>
      <c r="C53" s="7">
        <f t="shared" si="8"/>
        <v>12.5</v>
      </c>
      <c r="D53" s="7">
        <f t="shared" si="9"/>
        <v>12.5</v>
      </c>
      <c r="E53" s="11">
        <f>((E54/5)+$B$17)*((100-$D$17)/100)</f>
        <v>36.46</v>
      </c>
      <c r="F53" s="16">
        <f t="shared" si="10"/>
        <v>0.5</v>
      </c>
      <c r="G53" s="15">
        <f t="shared" si="11"/>
        <v>0.05</v>
      </c>
      <c r="H53" s="11">
        <f>((H54/5)+B17)*((100-D17)/100)*(1+G53)</f>
        <v>39.151190399999997</v>
      </c>
      <c r="M53" s="7">
        <f t="shared" si="12"/>
        <v>100</v>
      </c>
    </row>
    <row r="54" spans="1:13" ht="15">
      <c r="A54" s="5" t="s">
        <v>48</v>
      </c>
      <c r="B54" s="11">
        <f>(B56)+B18</f>
        <v>155</v>
      </c>
      <c r="C54" s="7">
        <f t="shared" si="8"/>
        <v>45</v>
      </c>
      <c r="D54" s="7">
        <f t="shared" si="9"/>
        <v>17.5</v>
      </c>
      <c r="E54" s="11">
        <f>E56+$B$18*((100-$D$18)/100)</f>
        <v>132.30000000000001</v>
      </c>
      <c r="F54" s="16">
        <f t="shared" si="10"/>
        <v>1</v>
      </c>
      <c r="G54" s="15">
        <f t="shared" si="11"/>
        <v>0</v>
      </c>
      <c r="H54" s="11">
        <f>H56+B18*((100-D18)/100)*(1+G54)</f>
        <v>136.43423999999999</v>
      </c>
      <c r="M54" s="7">
        <f t="shared" si="12"/>
        <v>90</v>
      </c>
    </row>
    <row r="55" spans="1:13" ht="15">
      <c r="A55" s="5" t="s">
        <v>49</v>
      </c>
      <c r="B55" s="11">
        <f>(B47/3)+B50+(B53/2)+B19</f>
        <v>703.33333333333337</v>
      </c>
      <c r="C55" s="7">
        <f t="shared" si="8"/>
        <v>45</v>
      </c>
      <c r="D55" s="7">
        <f t="shared" si="9"/>
        <v>17.5</v>
      </c>
      <c r="E55" s="11">
        <f>((E47/3)+E50+(E53/2)+$B$19)*((100-$D$19)/100)</f>
        <v>300.10027692187504</v>
      </c>
      <c r="F55" s="16">
        <f t="shared" si="10"/>
        <v>1</v>
      </c>
      <c r="G55" s="15">
        <f t="shared" si="11"/>
        <v>0</v>
      </c>
      <c r="H55" s="11">
        <f>((H47/3)+H50+(H53/2)+B19)*((100-$D$19)/100)*(1+G55)</f>
        <v>350.63204228549887</v>
      </c>
      <c r="M55" s="7">
        <f t="shared" si="12"/>
        <v>40</v>
      </c>
    </row>
    <row r="56" spans="1:13" ht="15">
      <c r="A56" s="5" t="s">
        <v>50</v>
      </c>
      <c r="B56" s="11">
        <f>(B40/2)+(B41/3)+B20</f>
        <v>95</v>
      </c>
      <c r="C56" s="7">
        <f t="shared" si="8"/>
        <v>45</v>
      </c>
      <c r="D56" s="7">
        <f t="shared" si="9"/>
        <v>17.5</v>
      </c>
      <c r="E56" s="11">
        <f>((E40/2)+(E41/3)+$B$20)*((100-$D$20)/100)</f>
        <v>78.3</v>
      </c>
      <c r="F56" s="16">
        <f t="shared" si="10"/>
        <v>1</v>
      </c>
      <c r="G56" s="15">
        <f t="shared" si="11"/>
        <v>0</v>
      </c>
      <c r="H56" s="11">
        <f>((H40/2)+(H41/3)+$B$20)*((100-D20)/100)*(1+G56)</f>
        <v>82.434240000000003</v>
      </c>
      <c r="M56" s="7">
        <f t="shared" si="12"/>
        <v>40</v>
      </c>
    </row>
    <row r="57" spans="1:13" ht="15">
      <c r="A57" s="5" t="s">
        <v>51</v>
      </c>
      <c r="B57" s="11">
        <f>(B41/3)+B21</f>
        <v>52.5</v>
      </c>
      <c r="C57" s="7">
        <f t="shared" si="8"/>
        <v>32.5</v>
      </c>
      <c r="D57" s="7">
        <f t="shared" si="9"/>
        <v>75</v>
      </c>
      <c r="E57" s="11">
        <f>((E41/3)+$B$21)*((100-$D$21)/100)</f>
        <v>13.574999999999999</v>
      </c>
      <c r="F57" s="16">
        <f t="shared" si="10"/>
        <v>-0.2</v>
      </c>
      <c r="G57" s="15">
        <f t="shared" si="11"/>
        <v>0.12</v>
      </c>
      <c r="H57" s="11">
        <f>((H41/3)+B21)*((100-D21)/100)*(1+G57)</f>
        <v>16.520649600000002</v>
      </c>
      <c r="M57" s="7">
        <f t="shared" si="12"/>
        <v>40</v>
      </c>
    </row>
    <row r="59" spans="1:13">
      <c r="E59" t="s">
        <v>56</v>
      </c>
    </row>
    <row r="60" spans="1:13">
      <c r="E60" t="s">
        <v>57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28"/>
  <sheetViews>
    <sheetView topLeftCell="AE64" workbookViewId="0">
      <selection activeCell="AV59" sqref="AV59"/>
    </sheetView>
  </sheetViews>
  <sheetFormatPr defaultRowHeight="14.25"/>
  <sheetData>
    <row r="1" spans="1:17" ht="15">
      <c r="A1" s="5"/>
      <c r="B1" s="6" t="s">
        <v>26</v>
      </c>
      <c r="C1" s="6" t="s">
        <v>17</v>
      </c>
      <c r="D1" s="6" t="s">
        <v>18</v>
      </c>
      <c r="E1" s="6" t="s">
        <v>19</v>
      </c>
      <c r="F1" s="6" t="s">
        <v>20</v>
      </c>
      <c r="G1" s="6" t="s">
        <v>21</v>
      </c>
      <c r="H1" s="6" t="s">
        <v>22</v>
      </c>
      <c r="I1" s="6" t="s">
        <v>27</v>
      </c>
      <c r="J1" s="6" t="s">
        <v>23</v>
      </c>
      <c r="K1" s="6" t="s">
        <v>24</v>
      </c>
      <c r="L1" s="5" t="s">
        <v>25</v>
      </c>
      <c r="M1" s="1"/>
      <c r="N1" s="5" t="s">
        <v>32</v>
      </c>
      <c r="O1" s="5" t="s">
        <v>29</v>
      </c>
      <c r="P1" s="5" t="s">
        <v>30</v>
      </c>
      <c r="Q1" s="5" t="s">
        <v>31</v>
      </c>
    </row>
    <row r="2" spans="1:17" ht="15">
      <c r="A2" s="5" t="s">
        <v>52</v>
      </c>
      <c r="B2" s="7">
        <v>5</v>
      </c>
      <c r="C2" s="7">
        <v>0</v>
      </c>
      <c r="D2" s="7">
        <v>10</v>
      </c>
      <c r="E2" s="7">
        <v>0</v>
      </c>
      <c r="F2" s="7">
        <v>100</v>
      </c>
      <c r="G2" s="7">
        <v>65</v>
      </c>
      <c r="H2" s="7">
        <v>100</v>
      </c>
      <c r="I2" s="7">
        <v>30</v>
      </c>
      <c r="J2" s="7">
        <v>0</v>
      </c>
      <c r="K2" s="7">
        <v>0</v>
      </c>
      <c r="L2" s="7">
        <v>10</v>
      </c>
      <c r="N2" s="7">
        <f t="shared" ref="N2:N21" si="0">SUM(B2:L2)</f>
        <v>320</v>
      </c>
      <c r="O2" s="7">
        <f t="shared" ref="O2:O21" si="1">AVERAGE(B2:L2)</f>
        <v>29.09090909090909</v>
      </c>
      <c r="P2" s="7">
        <f t="shared" ref="P2:P21" si="2">MIN(B2:L2)</f>
        <v>0</v>
      </c>
      <c r="Q2" s="7">
        <f t="shared" ref="Q2:Q21" si="3">MAX(B2:L2)</f>
        <v>100</v>
      </c>
    </row>
    <row r="3" spans="1:17" ht="15">
      <c r="A3" s="5" t="s">
        <v>33</v>
      </c>
      <c r="B3" s="7">
        <v>25</v>
      </c>
      <c r="C3" s="7">
        <v>50</v>
      </c>
      <c r="D3" s="7">
        <v>70</v>
      </c>
      <c r="E3" s="7">
        <v>60</v>
      </c>
      <c r="F3" s="7">
        <v>60</v>
      </c>
      <c r="G3" s="7">
        <v>75</v>
      </c>
      <c r="H3" s="7">
        <v>20</v>
      </c>
      <c r="I3" s="7">
        <v>40</v>
      </c>
      <c r="J3" s="7">
        <v>40</v>
      </c>
      <c r="K3" s="7">
        <v>80</v>
      </c>
      <c r="L3" s="7">
        <v>65</v>
      </c>
      <c r="N3" s="7">
        <f t="shared" si="0"/>
        <v>585</v>
      </c>
      <c r="O3" s="7">
        <f t="shared" si="1"/>
        <v>53.18181818181818</v>
      </c>
      <c r="P3" s="7">
        <f t="shared" si="2"/>
        <v>20</v>
      </c>
      <c r="Q3" s="7">
        <f t="shared" si="3"/>
        <v>80</v>
      </c>
    </row>
    <row r="4" spans="1:17" ht="15">
      <c r="A4" s="5" t="s">
        <v>34</v>
      </c>
      <c r="B4" s="7">
        <v>15</v>
      </c>
      <c r="C4" s="7">
        <v>50</v>
      </c>
      <c r="D4" s="7">
        <v>10</v>
      </c>
      <c r="E4" s="7">
        <v>10</v>
      </c>
      <c r="F4" s="7">
        <v>60</v>
      </c>
      <c r="G4" s="7">
        <v>60</v>
      </c>
      <c r="H4" s="7">
        <v>35</v>
      </c>
      <c r="I4" s="7">
        <v>20</v>
      </c>
      <c r="J4" s="7">
        <v>30</v>
      </c>
      <c r="K4" s="7">
        <v>40</v>
      </c>
      <c r="L4" s="7">
        <v>50</v>
      </c>
      <c r="N4" s="7">
        <f t="shared" si="0"/>
        <v>380</v>
      </c>
      <c r="O4" s="7">
        <f t="shared" si="1"/>
        <v>34.545454545454547</v>
      </c>
      <c r="P4" s="7">
        <f t="shared" si="2"/>
        <v>10</v>
      </c>
      <c r="Q4" s="7">
        <f t="shared" si="3"/>
        <v>60</v>
      </c>
    </row>
    <row r="5" spans="1:17" ht="15">
      <c r="A5" s="5" t="s">
        <v>35</v>
      </c>
      <c r="B5" s="7">
        <v>45</v>
      </c>
      <c r="C5" s="7">
        <v>35</v>
      </c>
      <c r="D5" s="7"/>
      <c r="E5" s="7">
        <v>55</v>
      </c>
      <c r="F5" s="7">
        <v>10</v>
      </c>
      <c r="G5" s="7">
        <v>50</v>
      </c>
      <c r="H5" s="7">
        <v>5</v>
      </c>
      <c r="I5" s="7">
        <v>10</v>
      </c>
      <c r="J5" s="7">
        <v>60</v>
      </c>
      <c r="K5" s="7">
        <v>30</v>
      </c>
      <c r="L5" s="7">
        <v>65</v>
      </c>
      <c r="N5" s="7">
        <f t="shared" si="0"/>
        <v>365</v>
      </c>
      <c r="O5" s="7">
        <f t="shared" si="1"/>
        <v>36.5</v>
      </c>
      <c r="P5" s="7">
        <f t="shared" si="2"/>
        <v>5</v>
      </c>
      <c r="Q5" s="7">
        <f t="shared" si="3"/>
        <v>65</v>
      </c>
    </row>
    <row r="6" spans="1:17" ht="15">
      <c r="A6" s="5" t="s">
        <v>36</v>
      </c>
      <c r="B6" s="7">
        <v>25</v>
      </c>
      <c r="C6" s="7">
        <v>65</v>
      </c>
      <c r="D6" s="7">
        <v>75</v>
      </c>
      <c r="E6" s="7">
        <v>40</v>
      </c>
      <c r="F6" s="7">
        <v>80</v>
      </c>
      <c r="G6" s="7">
        <v>25</v>
      </c>
      <c r="H6" s="7">
        <v>25</v>
      </c>
      <c r="I6" s="7">
        <v>45</v>
      </c>
      <c r="J6" s="7">
        <v>30</v>
      </c>
      <c r="K6" s="7">
        <v>40</v>
      </c>
      <c r="L6" s="7">
        <v>35</v>
      </c>
      <c r="N6" s="7">
        <f t="shared" si="0"/>
        <v>485</v>
      </c>
      <c r="O6" s="7">
        <f t="shared" si="1"/>
        <v>44.090909090909093</v>
      </c>
      <c r="P6" s="7">
        <f t="shared" si="2"/>
        <v>25</v>
      </c>
      <c r="Q6" s="7">
        <f t="shared" si="3"/>
        <v>80</v>
      </c>
    </row>
    <row r="7" spans="1:17" ht="15">
      <c r="A7" s="5" t="s">
        <v>37</v>
      </c>
      <c r="B7" s="7">
        <v>40</v>
      </c>
      <c r="C7" s="7">
        <v>45</v>
      </c>
      <c r="D7" s="7">
        <v>35</v>
      </c>
      <c r="E7" s="7">
        <v>45</v>
      </c>
      <c r="F7" s="7">
        <v>20</v>
      </c>
      <c r="G7" s="7">
        <v>25</v>
      </c>
      <c r="H7" s="7">
        <v>5</v>
      </c>
      <c r="I7" s="7">
        <v>20</v>
      </c>
      <c r="J7" s="7">
        <v>50</v>
      </c>
      <c r="K7" s="7">
        <v>45</v>
      </c>
      <c r="L7" s="7">
        <v>70</v>
      </c>
      <c r="N7" s="7">
        <f t="shared" si="0"/>
        <v>400</v>
      </c>
      <c r="O7" s="7">
        <f t="shared" si="1"/>
        <v>36.363636363636367</v>
      </c>
      <c r="P7" s="7">
        <f t="shared" si="2"/>
        <v>5</v>
      </c>
      <c r="Q7" s="7">
        <f t="shared" si="3"/>
        <v>70</v>
      </c>
    </row>
    <row r="8" spans="1:17" ht="15">
      <c r="A8" s="5" t="s">
        <v>38</v>
      </c>
      <c r="B8" s="7">
        <v>60</v>
      </c>
      <c r="C8" s="7">
        <v>40</v>
      </c>
      <c r="D8" s="7">
        <v>30</v>
      </c>
      <c r="E8" s="7">
        <v>45</v>
      </c>
      <c r="F8" s="7">
        <v>10</v>
      </c>
      <c r="G8" s="7">
        <v>20</v>
      </c>
      <c r="H8" s="7">
        <v>5</v>
      </c>
      <c r="I8" s="7">
        <v>30</v>
      </c>
      <c r="J8" s="7">
        <v>75</v>
      </c>
      <c r="K8" s="7">
        <v>50</v>
      </c>
      <c r="L8" s="7">
        <v>85</v>
      </c>
      <c r="N8" s="7">
        <f t="shared" si="0"/>
        <v>450</v>
      </c>
      <c r="O8" s="7">
        <f t="shared" si="1"/>
        <v>40.909090909090907</v>
      </c>
      <c r="P8" s="7">
        <f t="shared" si="2"/>
        <v>5</v>
      </c>
      <c r="Q8" s="7">
        <f t="shared" si="3"/>
        <v>85</v>
      </c>
    </row>
    <row r="9" spans="1:17" ht="15">
      <c r="A9" s="5" t="s">
        <v>39</v>
      </c>
      <c r="B9" s="7">
        <v>65</v>
      </c>
      <c r="C9" s="7">
        <v>50</v>
      </c>
      <c r="D9" s="7">
        <v>25</v>
      </c>
      <c r="E9" s="7">
        <v>45</v>
      </c>
      <c r="F9" s="7">
        <v>10</v>
      </c>
      <c r="G9" s="7">
        <v>20</v>
      </c>
      <c r="H9" s="7">
        <v>5</v>
      </c>
      <c r="I9" s="7">
        <v>20</v>
      </c>
      <c r="J9" s="7">
        <v>80</v>
      </c>
      <c r="K9" s="7">
        <v>65</v>
      </c>
      <c r="L9" s="7">
        <v>90</v>
      </c>
      <c r="N9" s="7">
        <f t="shared" si="0"/>
        <v>475</v>
      </c>
      <c r="O9" s="7">
        <f t="shared" si="1"/>
        <v>43.18181818181818</v>
      </c>
      <c r="P9" s="7">
        <f t="shared" si="2"/>
        <v>5</v>
      </c>
      <c r="Q9" s="7">
        <f t="shared" si="3"/>
        <v>90</v>
      </c>
    </row>
    <row r="10" spans="1:17" ht="15">
      <c r="A10" s="5" t="s">
        <v>40</v>
      </c>
      <c r="B10" s="7">
        <v>10</v>
      </c>
      <c r="C10" s="7">
        <v>0</v>
      </c>
      <c r="D10" s="7">
        <v>0</v>
      </c>
      <c r="E10" s="7">
        <v>0</v>
      </c>
      <c r="F10" s="7">
        <v>10</v>
      </c>
      <c r="G10" s="7">
        <v>20</v>
      </c>
      <c r="H10" s="7">
        <v>5</v>
      </c>
      <c r="I10" s="7">
        <v>0</v>
      </c>
      <c r="J10" s="7">
        <v>30</v>
      </c>
      <c r="K10" s="7">
        <v>0</v>
      </c>
      <c r="L10" s="7">
        <v>20</v>
      </c>
      <c r="N10" s="7">
        <f t="shared" si="0"/>
        <v>95</v>
      </c>
      <c r="O10" s="7">
        <f t="shared" si="1"/>
        <v>8.6363636363636367</v>
      </c>
      <c r="P10" s="7">
        <f t="shared" si="2"/>
        <v>0</v>
      </c>
      <c r="Q10" s="7">
        <f t="shared" si="3"/>
        <v>30</v>
      </c>
    </row>
    <row r="11" spans="1:17" ht="15">
      <c r="A11" s="5" t="s">
        <v>41</v>
      </c>
      <c r="B11" s="7">
        <v>25</v>
      </c>
      <c r="C11" s="7">
        <v>50</v>
      </c>
      <c r="D11" s="7">
        <v>65</v>
      </c>
      <c r="E11" s="7">
        <v>60</v>
      </c>
      <c r="F11" s="7">
        <v>30</v>
      </c>
      <c r="G11" s="7">
        <v>25</v>
      </c>
      <c r="H11" s="7">
        <v>15</v>
      </c>
      <c r="I11" s="7">
        <v>65</v>
      </c>
      <c r="J11" s="7">
        <v>50</v>
      </c>
      <c r="K11" s="7">
        <v>55</v>
      </c>
      <c r="L11" s="7">
        <v>75</v>
      </c>
      <c r="N11" s="7">
        <f t="shared" si="0"/>
        <v>515</v>
      </c>
      <c r="O11" s="7">
        <f t="shared" si="1"/>
        <v>46.81818181818182</v>
      </c>
      <c r="P11" s="7">
        <f t="shared" si="2"/>
        <v>15</v>
      </c>
      <c r="Q11" s="7">
        <f t="shared" si="3"/>
        <v>75</v>
      </c>
    </row>
    <row r="12" spans="1:17" ht="15">
      <c r="A12" s="10" t="s">
        <v>42</v>
      </c>
      <c r="B12" s="8">
        <v>100</v>
      </c>
      <c r="C12" s="8">
        <v>75</v>
      </c>
      <c r="D12" s="8">
        <v>0</v>
      </c>
      <c r="E12" s="8">
        <v>0</v>
      </c>
      <c r="F12" s="8">
        <v>0</v>
      </c>
      <c r="G12" s="8">
        <v>100</v>
      </c>
      <c r="H12" s="8"/>
      <c r="I12" s="8">
        <v>100</v>
      </c>
      <c r="J12" s="8">
        <v>100</v>
      </c>
      <c r="K12" s="8">
        <v>100</v>
      </c>
      <c r="L12" s="8">
        <v>100</v>
      </c>
      <c r="M12" s="9"/>
      <c r="N12" s="8">
        <f t="shared" si="0"/>
        <v>675</v>
      </c>
      <c r="O12" s="8">
        <f t="shared" si="1"/>
        <v>67.5</v>
      </c>
      <c r="P12" s="8">
        <f t="shared" si="2"/>
        <v>0</v>
      </c>
      <c r="Q12" s="8">
        <f t="shared" si="3"/>
        <v>100</v>
      </c>
    </row>
    <row r="13" spans="1:17" ht="15">
      <c r="A13" s="5" t="s">
        <v>43</v>
      </c>
      <c r="B13" s="7">
        <v>100</v>
      </c>
      <c r="C13" s="7">
        <v>100</v>
      </c>
      <c r="D13" s="7">
        <v>20</v>
      </c>
      <c r="E13" s="7">
        <v>40</v>
      </c>
      <c r="F13" s="7">
        <v>10</v>
      </c>
      <c r="G13" s="7">
        <v>60</v>
      </c>
      <c r="H13" s="7">
        <v>5</v>
      </c>
      <c r="I13" s="7">
        <v>20</v>
      </c>
      <c r="J13" s="7">
        <v>100</v>
      </c>
      <c r="K13" s="7">
        <v>85</v>
      </c>
      <c r="L13" s="7">
        <v>0</v>
      </c>
      <c r="N13" s="7">
        <f t="shared" si="0"/>
        <v>540</v>
      </c>
      <c r="O13" s="7">
        <f t="shared" si="1"/>
        <v>49.090909090909093</v>
      </c>
      <c r="P13" s="7">
        <f t="shared" si="2"/>
        <v>0</v>
      </c>
      <c r="Q13" s="7">
        <f t="shared" si="3"/>
        <v>100</v>
      </c>
    </row>
    <row r="14" spans="1:17" ht="15">
      <c r="A14" s="5" t="s">
        <v>44</v>
      </c>
      <c r="B14" s="7">
        <v>15</v>
      </c>
      <c r="C14" s="7">
        <v>50</v>
      </c>
      <c r="D14" s="7">
        <v>10</v>
      </c>
      <c r="E14" s="7">
        <v>20</v>
      </c>
      <c r="F14" s="7">
        <v>20</v>
      </c>
      <c r="G14" s="7">
        <v>15</v>
      </c>
      <c r="H14" s="7">
        <v>5</v>
      </c>
      <c r="I14" s="7">
        <v>10</v>
      </c>
      <c r="J14" s="7">
        <v>75</v>
      </c>
      <c r="K14" s="7">
        <v>10</v>
      </c>
      <c r="L14" s="7">
        <v>20</v>
      </c>
      <c r="N14" s="7">
        <f t="shared" si="0"/>
        <v>250</v>
      </c>
      <c r="O14" s="7">
        <f t="shared" si="1"/>
        <v>22.727272727272727</v>
      </c>
      <c r="P14" s="7">
        <f t="shared" si="2"/>
        <v>5</v>
      </c>
      <c r="Q14" s="7">
        <f t="shared" si="3"/>
        <v>75</v>
      </c>
    </row>
    <row r="15" spans="1:17" ht="15">
      <c r="A15" s="5" t="s">
        <v>45</v>
      </c>
      <c r="B15" s="7">
        <v>50</v>
      </c>
      <c r="C15" s="7">
        <v>35</v>
      </c>
      <c r="D15" s="7">
        <v>5</v>
      </c>
      <c r="E15" s="7">
        <v>10</v>
      </c>
      <c r="F15" s="7">
        <v>20</v>
      </c>
      <c r="G15" s="7">
        <v>25</v>
      </c>
      <c r="H15" s="7">
        <v>0</v>
      </c>
      <c r="I15" s="7">
        <v>100</v>
      </c>
      <c r="J15" s="7">
        <v>55</v>
      </c>
      <c r="K15" s="7">
        <v>60</v>
      </c>
      <c r="L15" s="7">
        <v>25</v>
      </c>
      <c r="N15" s="7">
        <f t="shared" si="0"/>
        <v>385</v>
      </c>
      <c r="O15" s="7">
        <f t="shared" si="1"/>
        <v>35</v>
      </c>
      <c r="P15" s="7">
        <f t="shared" si="2"/>
        <v>0</v>
      </c>
      <c r="Q15" s="7">
        <f t="shared" si="3"/>
        <v>100</v>
      </c>
    </row>
    <row r="16" spans="1:17" ht="15">
      <c r="A16" s="5" t="s">
        <v>46</v>
      </c>
      <c r="B16" s="7">
        <v>0</v>
      </c>
      <c r="C16" s="7">
        <v>0</v>
      </c>
      <c r="D16" s="7">
        <v>0</v>
      </c>
      <c r="E16" s="7">
        <v>0</v>
      </c>
      <c r="F16" s="7">
        <v>65</v>
      </c>
      <c r="G16" s="7">
        <v>20</v>
      </c>
      <c r="H16" s="7">
        <v>75</v>
      </c>
      <c r="I16" s="7">
        <v>20</v>
      </c>
      <c r="J16" s="7">
        <v>20</v>
      </c>
      <c r="K16" s="7">
        <v>10</v>
      </c>
      <c r="L16" s="7">
        <v>0</v>
      </c>
      <c r="N16" s="7">
        <f t="shared" si="0"/>
        <v>210</v>
      </c>
      <c r="O16" s="7">
        <f t="shared" si="1"/>
        <v>19.09090909090909</v>
      </c>
      <c r="P16" s="7">
        <f t="shared" si="2"/>
        <v>0</v>
      </c>
      <c r="Q16" s="7">
        <f t="shared" si="3"/>
        <v>75</v>
      </c>
    </row>
    <row r="17" spans="1:17" ht="15">
      <c r="A17" s="5" t="s">
        <v>47</v>
      </c>
      <c r="B17" s="7">
        <v>10</v>
      </c>
      <c r="C17" s="7">
        <v>45</v>
      </c>
      <c r="D17" s="7">
        <v>0</v>
      </c>
      <c r="E17" s="7">
        <v>0</v>
      </c>
      <c r="F17" s="7">
        <v>35</v>
      </c>
      <c r="G17" s="7">
        <v>30</v>
      </c>
      <c r="H17" s="7">
        <v>20</v>
      </c>
      <c r="I17" s="7">
        <v>15</v>
      </c>
      <c r="J17" s="7">
        <v>15</v>
      </c>
      <c r="K17" s="7">
        <v>25</v>
      </c>
      <c r="L17" s="7">
        <v>30</v>
      </c>
      <c r="N17" s="7">
        <f t="shared" si="0"/>
        <v>225</v>
      </c>
      <c r="O17" s="7">
        <f t="shared" si="1"/>
        <v>20.454545454545453</v>
      </c>
      <c r="P17" s="7">
        <f t="shared" si="2"/>
        <v>0</v>
      </c>
      <c r="Q17" s="7">
        <f t="shared" si="3"/>
        <v>45</v>
      </c>
    </row>
    <row r="18" spans="1:17" ht="15">
      <c r="A18" s="5" t="s">
        <v>48</v>
      </c>
      <c r="B18" s="7">
        <v>60</v>
      </c>
      <c r="C18" s="7">
        <v>65</v>
      </c>
      <c r="D18" s="7">
        <v>10</v>
      </c>
      <c r="E18" s="7">
        <v>0</v>
      </c>
      <c r="F18" s="7">
        <v>40</v>
      </c>
      <c r="G18" s="7">
        <v>40</v>
      </c>
      <c r="H18" s="7">
        <v>45</v>
      </c>
      <c r="I18" s="7">
        <v>10</v>
      </c>
      <c r="J18" s="7">
        <v>30</v>
      </c>
      <c r="K18" s="7">
        <v>25</v>
      </c>
      <c r="L18" s="7">
        <v>25</v>
      </c>
      <c r="N18" s="7">
        <f t="shared" si="0"/>
        <v>350</v>
      </c>
      <c r="O18" s="7">
        <f t="shared" si="1"/>
        <v>31.818181818181817</v>
      </c>
      <c r="P18" s="7">
        <f t="shared" si="2"/>
        <v>0</v>
      </c>
      <c r="Q18" s="7">
        <f t="shared" si="3"/>
        <v>65</v>
      </c>
    </row>
    <row r="19" spans="1:17" ht="15">
      <c r="A19" s="5" t="s">
        <v>49</v>
      </c>
      <c r="B19" s="7">
        <v>60</v>
      </c>
      <c r="C19" s="7">
        <v>65</v>
      </c>
      <c r="D19" s="7">
        <v>10</v>
      </c>
      <c r="E19" s="7">
        <v>0</v>
      </c>
      <c r="F19" s="7">
        <v>40</v>
      </c>
      <c r="G19" s="7">
        <v>40</v>
      </c>
      <c r="H19" s="7">
        <v>45</v>
      </c>
      <c r="I19" s="7">
        <v>10</v>
      </c>
      <c r="J19" s="7">
        <v>30</v>
      </c>
      <c r="K19" s="7">
        <v>25</v>
      </c>
      <c r="L19" s="7">
        <v>25</v>
      </c>
      <c r="N19" s="7">
        <f t="shared" si="0"/>
        <v>350</v>
      </c>
      <c r="O19" s="7">
        <f t="shared" si="1"/>
        <v>31.818181818181817</v>
      </c>
      <c r="P19" s="7">
        <f t="shared" si="2"/>
        <v>0</v>
      </c>
      <c r="Q19" s="7">
        <f t="shared" si="3"/>
        <v>65</v>
      </c>
    </row>
    <row r="20" spans="1:17" ht="15">
      <c r="A20" s="5" t="s">
        <v>50</v>
      </c>
      <c r="B20" s="7">
        <v>60</v>
      </c>
      <c r="C20" s="7">
        <v>65</v>
      </c>
      <c r="D20" s="7">
        <v>10</v>
      </c>
      <c r="E20" s="7">
        <v>0</v>
      </c>
      <c r="F20" s="7">
        <v>40</v>
      </c>
      <c r="G20" s="7">
        <v>40</v>
      </c>
      <c r="H20" s="7">
        <v>45</v>
      </c>
      <c r="I20" s="7">
        <v>10</v>
      </c>
      <c r="J20" s="7">
        <v>30</v>
      </c>
      <c r="K20" s="7">
        <v>25</v>
      </c>
      <c r="L20" s="7">
        <v>25</v>
      </c>
      <c r="N20" s="7">
        <f t="shared" si="0"/>
        <v>350</v>
      </c>
      <c r="O20" s="7">
        <f t="shared" si="1"/>
        <v>31.818181818181817</v>
      </c>
      <c r="P20" s="7">
        <f t="shared" si="2"/>
        <v>0</v>
      </c>
      <c r="Q20" s="7">
        <f t="shared" si="3"/>
        <v>65</v>
      </c>
    </row>
    <row r="21" spans="1:17" ht="15">
      <c r="A21" s="5" t="s">
        <v>51</v>
      </c>
      <c r="B21" s="7">
        <v>25</v>
      </c>
      <c r="C21" s="7">
        <v>50</v>
      </c>
      <c r="D21" s="7">
        <v>70</v>
      </c>
      <c r="E21" s="7">
        <v>60</v>
      </c>
      <c r="F21" s="7">
        <v>60</v>
      </c>
      <c r="G21" s="7">
        <v>75</v>
      </c>
      <c r="H21" s="7">
        <v>20</v>
      </c>
      <c r="I21" s="7">
        <v>40</v>
      </c>
      <c r="J21" s="7">
        <v>40</v>
      </c>
      <c r="K21" s="7">
        <v>80</v>
      </c>
      <c r="L21" s="7">
        <v>65</v>
      </c>
      <c r="N21" s="7">
        <f t="shared" si="0"/>
        <v>585</v>
      </c>
      <c r="O21" s="7">
        <f t="shared" si="1"/>
        <v>53.18181818181818</v>
      </c>
      <c r="P21" s="7">
        <f t="shared" si="2"/>
        <v>20</v>
      </c>
      <c r="Q21" s="7">
        <f t="shared" si="3"/>
        <v>80</v>
      </c>
    </row>
    <row r="24" spans="1:17" ht="15" thickBo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7" ht="15.75" thickTop="1">
      <c r="A25" s="1" t="s">
        <v>28</v>
      </c>
      <c r="B25">
        <f>SUM(B2:B21)</f>
        <v>795</v>
      </c>
      <c r="C25">
        <f t="shared" ref="C25:L25" si="4">SUM(C2:C21)</f>
        <v>935</v>
      </c>
      <c r="D25">
        <f t="shared" si="4"/>
        <v>455</v>
      </c>
      <c r="E25">
        <f t="shared" si="4"/>
        <v>490</v>
      </c>
      <c r="F25">
        <f t="shared" si="4"/>
        <v>720</v>
      </c>
      <c r="G25">
        <f t="shared" si="4"/>
        <v>830</v>
      </c>
      <c r="H25">
        <f t="shared" si="4"/>
        <v>480</v>
      </c>
      <c r="I25">
        <f t="shared" si="4"/>
        <v>615</v>
      </c>
      <c r="J25">
        <f t="shared" si="4"/>
        <v>940</v>
      </c>
      <c r="K25">
        <f t="shared" si="4"/>
        <v>850</v>
      </c>
      <c r="L25">
        <f t="shared" si="4"/>
        <v>880</v>
      </c>
    </row>
    <row r="26" spans="1:17" ht="15">
      <c r="A26" s="1" t="s">
        <v>29</v>
      </c>
      <c r="B26">
        <f>AVERAGE(B2:B21)</f>
        <v>39.75</v>
      </c>
      <c r="C26">
        <f t="shared" ref="C26:L26" si="5">AVERAGE(C2:C21)</f>
        <v>46.75</v>
      </c>
      <c r="D26">
        <f t="shared" si="5"/>
        <v>23.94736842105263</v>
      </c>
      <c r="E26">
        <f t="shared" si="5"/>
        <v>24.5</v>
      </c>
      <c r="F26">
        <f t="shared" si="5"/>
        <v>36</v>
      </c>
      <c r="G26">
        <f t="shared" si="5"/>
        <v>41.5</v>
      </c>
      <c r="H26">
        <f t="shared" si="5"/>
        <v>25.263157894736842</v>
      </c>
      <c r="I26">
        <f t="shared" si="5"/>
        <v>30.75</v>
      </c>
      <c r="J26">
        <f t="shared" si="5"/>
        <v>47</v>
      </c>
      <c r="K26">
        <f t="shared" si="5"/>
        <v>42.5</v>
      </c>
      <c r="L26">
        <f t="shared" si="5"/>
        <v>44</v>
      </c>
    </row>
    <row r="27" spans="1:17" ht="15">
      <c r="A27" s="1" t="s">
        <v>31</v>
      </c>
      <c r="B27">
        <f>MAX(B2:B21)</f>
        <v>100</v>
      </c>
      <c r="C27">
        <f t="shared" ref="C27:L27" si="6">MAX(C2:C21)</f>
        <v>100</v>
      </c>
      <c r="D27">
        <f t="shared" si="6"/>
        <v>75</v>
      </c>
      <c r="E27">
        <f t="shared" si="6"/>
        <v>60</v>
      </c>
      <c r="F27">
        <f t="shared" si="6"/>
        <v>100</v>
      </c>
      <c r="G27">
        <f t="shared" si="6"/>
        <v>100</v>
      </c>
      <c r="H27">
        <f t="shared" si="6"/>
        <v>100</v>
      </c>
      <c r="I27">
        <f t="shared" si="6"/>
        <v>100</v>
      </c>
      <c r="J27">
        <f t="shared" si="6"/>
        <v>100</v>
      </c>
      <c r="K27">
        <f t="shared" si="6"/>
        <v>100</v>
      </c>
      <c r="L27">
        <f t="shared" si="6"/>
        <v>100</v>
      </c>
    </row>
    <row r="28" spans="1:17" ht="15">
      <c r="A28" s="1" t="s">
        <v>30</v>
      </c>
      <c r="B28">
        <f>MIN(B2:B21)</f>
        <v>0</v>
      </c>
      <c r="C28">
        <f t="shared" ref="C28:L28" si="7">MIN(C2:C21)</f>
        <v>0</v>
      </c>
      <c r="D28">
        <f t="shared" si="7"/>
        <v>0</v>
      </c>
      <c r="E28">
        <f t="shared" si="7"/>
        <v>0</v>
      </c>
      <c r="F28">
        <f t="shared" si="7"/>
        <v>0</v>
      </c>
      <c r="G28">
        <f t="shared" si="7"/>
        <v>15</v>
      </c>
      <c r="H28">
        <f t="shared" si="7"/>
        <v>0</v>
      </c>
      <c r="I28">
        <f t="shared" si="7"/>
        <v>0</v>
      </c>
      <c r="J28">
        <f t="shared" si="7"/>
        <v>0</v>
      </c>
      <c r="K28">
        <f t="shared" si="7"/>
        <v>0</v>
      </c>
      <c r="L28">
        <f t="shared" si="7"/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L96"/>
  <sheetViews>
    <sheetView tabSelected="1" topLeftCell="AA7" zoomScale="60" zoomScaleNormal="60" workbookViewId="0">
      <selection activeCell="AG58" sqref="AG58"/>
    </sheetView>
  </sheetViews>
  <sheetFormatPr defaultRowHeight="14.25"/>
  <cols>
    <col min="1" max="1" width="39.25" bestFit="1" customWidth="1"/>
    <col min="2" max="2" width="19.125" bestFit="1" customWidth="1"/>
    <col min="3" max="3" width="11.625" bestFit="1" customWidth="1"/>
    <col min="4" max="4" width="22.5" bestFit="1" customWidth="1"/>
    <col min="5" max="5" width="31.75" customWidth="1"/>
    <col min="6" max="6" width="10.25" bestFit="1" customWidth="1"/>
    <col min="7" max="7" width="11.375" bestFit="1" customWidth="1"/>
    <col min="8" max="8" width="35.375" bestFit="1" customWidth="1"/>
    <col min="9" max="9" width="13" bestFit="1" customWidth="1"/>
    <col min="10" max="10" width="15" bestFit="1" customWidth="1"/>
    <col min="11" max="11" width="16.5" bestFit="1" customWidth="1"/>
    <col min="12" max="12" width="18.125" bestFit="1" customWidth="1"/>
    <col min="21" max="21" width="28.125" bestFit="1" customWidth="1"/>
    <col min="22" max="22" width="28.5" bestFit="1" customWidth="1"/>
    <col min="23" max="23" width="34.75" bestFit="1" customWidth="1"/>
    <col min="24" max="24" width="11.75" customWidth="1"/>
    <col min="25" max="25" width="15.375" bestFit="1" customWidth="1"/>
    <col min="26" max="26" width="27.25" bestFit="1" customWidth="1"/>
    <col min="27" max="27" width="39.25" bestFit="1" customWidth="1"/>
    <col min="28" max="28" width="18.25" bestFit="1" customWidth="1"/>
    <col min="29" max="29" width="15.375" bestFit="1" customWidth="1"/>
    <col min="30" max="30" width="17.125" bestFit="1" customWidth="1"/>
    <col min="31" max="31" width="15.375" customWidth="1"/>
    <col min="32" max="32" width="17" bestFit="1" customWidth="1"/>
    <col min="33" max="33" width="33.75" bestFit="1" customWidth="1"/>
    <col min="35" max="35" width="17" bestFit="1" customWidth="1"/>
    <col min="36" max="36" width="39.25" bestFit="1" customWidth="1"/>
    <col min="38" max="38" width="17.25" customWidth="1"/>
  </cols>
  <sheetData>
    <row r="1" spans="1:38" ht="15">
      <c r="A1" s="25"/>
      <c r="B1" s="25" t="s">
        <v>26</v>
      </c>
      <c r="C1" s="25" t="s">
        <v>17</v>
      </c>
      <c r="D1" s="25" t="s">
        <v>18</v>
      </c>
      <c r="E1" s="25" t="s">
        <v>54</v>
      </c>
      <c r="F1" s="25" t="s">
        <v>20</v>
      </c>
      <c r="G1" s="27" t="s">
        <v>21</v>
      </c>
      <c r="H1" s="25" t="s">
        <v>22</v>
      </c>
      <c r="I1" s="25" t="s">
        <v>27</v>
      </c>
      <c r="J1" s="25" t="s">
        <v>23</v>
      </c>
      <c r="K1" s="25" t="s">
        <v>64</v>
      </c>
      <c r="L1" s="25" t="s">
        <v>25</v>
      </c>
    </row>
    <row r="2" spans="1:38" ht="15">
      <c r="A2" s="5" t="s">
        <v>52</v>
      </c>
      <c r="B2" s="7">
        <f>AF4</f>
        <v>10</v>
      </c>
      <c r="C2" s="7">
        <f>AF5</f>
        <v>0</v>
      </c>
      <c r="D2" s="7">
        <f>AF6</f>
        <v>10</v>
      </c>
      <c r="E2" s="7">
        <f t="shared" ref="E2:E21" si="0">(B2+J2)/2</f>
        <v>5</v>
      </c>
      <c r="F2" s="7">
        <v>100</v>
      </c>
      <c r="G2" s="17">
        <v>65</v>
      </c>
      <c r="H2" s="7">
        <v>100</v>
      </c>
      <c r="I2" s="7">
        <v>30</v>
      </c>
      <c r="J2" s="7">
        <f>AF7</f>
        <v>0</v>
      </c>
      <c r="K2" s="7">
        <f>I2/100</f>
        <v>0.3</v>
      </c>
      <c r="L2" s="7">
        <v>10</v>
      </c>
      <c r="M2">
        <f>M4</f>
        <v>0</v>
      </c>
      <c r="Q2" s="41"/>
      <c r="R2" s="41"/>
      <c r="S2" s="41"/>
      <c r="T2" s="41"/>
      <c r="U2" s="41"/>
      <c r="AI2" s="24" t="s">
        <v>74</v>
      </c>
      <c r="AJ2" s="23" t="s">
        <v>33</v>
      </c>
    </row>
    <row r="3" spans="1:38" ht="15">
      <c r="A3" s="5" t="s">
        <v>33</v>
      </c>
      <c r="B3" s="7">
        <f>AJ3</f>
        <v>0</v>
      </c>
      <c r="C3" s="7">
        <f>AJ4</f>
        <v>50</v>
      </c>
      <c r="D3" s="7">
        <f>AJ5</f>
        <v>70</v>
      </c>
      <c r="E3" s="7">
        <f t="shared" si="0"/>
        <v>20</v>
      </c>
      <c r="F3" s="7">
        <v>60</v>
      </c>
      <c r="G3" s="17">
        <v>75</v>
      </c>
      <c r="H3" s="7">
        <v>20</v>
      </c>
      <c r="I3" s="7">
        <v>40</v>
      </c>
      <c r="J3" s="7">
        <f>AJ6</f>
        <v>40</v>
      </c>
      <c r="K3" s="7">
        <f t="shared" ref="K3:K21" si="1">I3/100</f>
        <v>0.4</v>
      </c>
      <c r="L3" s="7">
        <v>65</v>
      </c>
      <c r="Q3" s="41"/>
      <c r="R3" s="41"/>
      <c r="S3" s="41"/>
      <c r="T3" s="41"/>
      <c r="U3" s="41"/>
      <c r="Z3" s="24" t="s">
        <v>74</v>
      </c>
      <c r="AA3" s="5" t="s">
        <v>34</v>
      </c>
      <c r="AE3" s="24" t="s">
        <v>74</v>
      </c>
      <c r="AF3" s="23" t="s">
        <v>73</v>
      </c>
      <c r="AI3" s="25" t="s">
        <v>71</v>
      </c>
      <c r="AJ3" s="7">
        <v>0</v>
      </c>
    </row>
    <row r="4" spans="1:38" ht="15">
      <c r="A4" s="5" t="s">
        <v>34</v>
      </c>
      <c r="B4" s="7">
        <f>AA4</f>
        <v>15</v>
      </c>
      <c r="C4" s="7">
        <f>AA5</f>
        <v>50</v>
      </c>
      <c r="D4" s="7">
        <f>AA6</f>
        <v>10</v>
      </c>
      <c r="E4" s="7">
        <f t="shared" si="0"/>
        <v>22.5</v>
      </c>
      <c r="F4" s="7">
        <v>60</v>
      </c>
      <c r="G4" s="17">
        <v>60</v>
      </c>
      <c r="H4" s="7">
        <v>35</v>
      </c>
      <c r="I4" s="7">
        <v>20</v>
      </c>
      <c r="J4" s="7">
        <f>AA7</f>
        <v>30</v>
      </c>
      <c r="K4" s="7">
        <f t="shared" si="1"/>
        <v>0.2</v>
      </c>
      <c r="L4" s="7">
        <v>50</v>
      </c>
      <c r="Z4" s="25" t="s">
        <v>71</v>
      </c>
      <c r="AA4" s="7">
        <v>15</v>
      </c>
      <c r="AE4" s="25" t="s">
        <v>71</v>
      </c>
      <c r="AF4" s="7">
        <v>10</v>
      </c>
      <c r="AI4" s="25" t="s">
        <v>17</v>
      </c>
      <c r="AJ4" s="7">
        <v>50</v>
      </c>
    </row>
    <row r="5" spans="1:38" ht="15">
      <c r="A5" s="5" t="s">
        <v>35</v>
      </c>
      <c r="B5" s="7">
        <f>AJ15</f>
        <v>15</v>
      </c>
      <c r="C5" s="7">
        <f>AJ16</f>
        <v>50</v>
      </c>
      <c r="D5" s="7">
        <f>AJ17</f>
        <v>10</v>
      </c>
      <c r="E5" s="7">
        <f t="shared" si="0"/>
        <v>22.5</v>
      </c>
      <c r="F5" s="7">
        <v>10</v>
      </c>
      <c r="G5" s="17">
        <v>50</v>
      </c>
      <c r="H5" s="7">
        <v>5</v>
      </c>
      <c r="I5" s="7">
        <v>10</v>
      </c>
      <c r="J5" s="7">
        <f>AJ18</f>
        <v>30</v>
      </c>
      <c r="K5" s="7">
        <f t="shared" si="1"/>
        <v>0.1</v>
      </c>
      <c r="L5" s="7">
        <v>65</v>
      </c>
      <c r="Z5" s="25" t="s">
        <v>17</v>
      </c>
      <c r="AA5" s="7">
        <v>50</v>
      </c>
      <c r="AE5" s="25" t="s">
        <v>17</v>
      </c>
      <c r="AF5" s="7">
        <v>0</v>
      </c>
      <c r="AI5" s="25" t="s">
        <v>78</v>
      </c>
      <c r="AJ5" s="7">
        <v>70</v>
      </c>
    </row>
    <row r="6" spans="1:38" ht="15">
      <c r="A6" s="5" t="s">
        <v>36</v>
      </c>
      <c r="B6" s="7">
        <f>AJ27</f>
        <v>25</v>
      </c>
      <c r="C6" s="7">
        <f>AJ28</f>
        <v>65</v>
      </c>
      <c r="D6" s="7">
        <f>AJ29</f>
        <v>75</v>
      </c>
      <c r="E6" s="7">
        <f t="shared" si="0"/>
        <v>27.5</v>
      </c>
      <c r="F6" s="7">
        <v>80</v>
      </c>
      <c r="G6" s="17">
        <v>25</v>
      </c>
      <c r="H6" s="7">
        <v>25</v>
      </c>
      <c r="I6" s="7">
        <v>45</v>
      </c>
      <c r="J6" s="7">
        <f>AJ30</f>
        <v>30</v>
      </c>
      <c r="K6" s="7">
        <f t="shared" si="1"/>
        <v>0.45</v>
      </c>
      <c r="L6" s="7">
        <v>35</v>
      </c>
      <c r="Z6" s="25" t="s">
        <v>78</v>
      </c>
      <c r="AA6" s="7">
        <v>10</v>
      </c>
      <c r="AE6" s="25" t="s">
        <v>78</v>
      </c>
      <c r="AF6" s="7">
        <v>10</v>
      </c>
      <c r="AI6" s="25" t="s">
        <v>23</v>
      </c>
      <c r="AJ6" s="7">
        <v>40</v>
      </c>
    </row>
    <row r="7" spans="1:38" ht="15">
      <c r="A7" s="5" t="s">
        <v>37</v>
      </c>
      <c r="B7" s="7">
        <f>AJ39</f>
        <v>40</v>
      </c>
      <c r="C7" s="7">
        <f>AJ40</f>
        <v>45</v>
      </c>
      <c r="D7" s="7">
        <f>AJ41</f>
        <v>35</v>
      </c>
      <c r="E7" s="7">
        <f t="shared" si="0"/>
        <v>45</v>
      </c>
      <c r="F7" s="7">
        <v>20</v>
      </c>
      <c r="G7" s="17">
        <v>25</v>
      </c>
      <c r="H7" s="7">
        <v>5</v>
      </c>
      <c r="I7" s="7">
        <v>20</v>
      </c>
      <c r="J7" s="7">
        <f>AJ42</f>
        <v>50</v>
      </c>
      <c r="K7" s="7">
        <f t="shared" si="1"/>
        <v>0.2</v>
      </c>
      <c r="L7" s="7">
        <v>70</v>
      </c>
      <c r="Z7" s="25" t="s">
        <v>23</v>
      </c>
      <c r="AA7" s="7">
        <v>30</v>
      </c>
      <c r="AE7" s="25" t="s">
        <v>23</v>
      </c>
      <c r="AF7" s="7">
        <v>0</v>
      </c>
      <c r="AI7" s="26" t="s">
        <v>72</v>
      </c>
      <c r="AJ7" s="30">
        <f>$B39</f>
        <v>22.5</v>
      </c>
    </row>
    <row r="8" spans="1:38" ht="15">
      <c r="A8" s="5" t="s">
        <v>38</v>
      </c>
      <c r="B8" s="7">
        <f>AA16</f>
        <v>60</v>
      </c>
      <c r="C8" s="7">
        <f>AA17</f>
        <v>40</v>
      </c>
      <c r="D8" s="7">
        <f>AA18</f>
        <v>30</v>
      </c>
      <c r="E8" s="7">
        <f t="shared" si="0"/>
        <v>67.5</v>
      </c>
      <c r="F8" s="7">
        <v>10</v>
      </c>
      <c r="G8" s="17">
        <v>20</v>
      </c>
      <c r="H8" s="7">
        <v>5</v>
      </c>
      <c r="I8" s="7">
        <v>30</v>
      </c>
      <c r="J8" s="7">
        <f>AA19</f>
        <v>75</v>
      </c>
      <c r="K8" s="7">
        <f t="shared" si="1"/>
        <v>0.3</v>
      </c>
      <c r="L8" s="7">
        <v>85</v>
      </c>
      <c r="Z8" s="26" t="s">
        <v>72</v>
      </c>
      <c r="AA8" s="30">
        <f>$B40</f>
        <v>25</v>
      </c>
      <c r="AE8" s="29" t="s">
        <v>72</v>
      </c>
      <c r="AF8" s="30">
        <f>B38</f>
        <v>5</v>
      </c>
      <c r="AI8" s="27" t="s">
        <v>63</v>
      </c>
      <c r="AJ8" s="31">
        <f>$I39</f>
        <v>100</v>
      </c>
    </row>
    <row r="9" spans="1:38" ht="15">
      <c r="A9" s="5" t="s">
        <v>39</v>
      </c>
      <c r="B9" s="7">
        <f>AA28</f>
        <v>65</v>
      </c>
      <c r="C9" s="7">
        <f>AA29</f>
        <v>50</v>
      </c>
      <c r="D9" s="7">
        <f>AA30</f>
        <v>25</v>
      </c>
      <c r="E9" s="7">
        <f t="shared" si="0"/>
        <v>72.5</v>
      </c>
      <c r="F9" s="7">
        <v>10</v>
      </c>
      <c r="G9" s="17">
        <v>20</v>
      </c>
      <c r="H9" s="7">
        <v>5</v>
      </c>
      <c r="I9" s="7">
        <v>20</v>
      </c>
      <c r="J9" s="7">
        <f>AA31</f>
        <v>80</v>
      </c>
      <c r="K9" s="7">
        <f t="shared" si="1"/>
        <v>0.2</v>
      </c>
      <c r="L9" s="7">
        <v>90</v>
      </c>
      <c r="Z9" s="27" t="s">
        <v>63</v>
      </c>
      <c r="AA9" s="31">
        <f>$I40</f>
        <v>85</v>
      </c>
      <c r="AE9" s="29" t="s">
        <v>63</v>
      </c>
      <c r="AF9" s="31">
        <f>I38</f>
        <v>90</v>
      </c>
      <c r="AI9" s="25" t="s">
        <v>64</v>
      </c>
      <c r="AJ9" s="31">
        <f>$D39</f>
        <v>8</v>
      </c>
    </row>
    <row r="10" spans="1:38" ht="15">
      <c r="A10" s="5" t="s">
        <v>40</v>
      </c>
      <c r="B10" s="7">
        <f>AA40</f>
        <v>10</v>
      </c>
      <c r="C10" s="7">
        <f>AA41</f>
        <v>0</v>
      </c>
      <c r="D10" s="7">
        <f>AA42</f>
        <v>0</v>
      </c>
      <c r="E10" s="7">
        <f t="shared" si="0"/>
        <v>20</v>
      </c>
      <c r="F10" s="7">
        <v>10</v>
      </c>
      <c r="G10" s="17">
        <v>20</v>
      </c>
      <c r="H10" s="7">
        <v>5</v>
      </c>
      <c r="I10" s="7">
        <v>0</v>
      </c>
      <c r="J10" s="7">
        <f>AA43</f>
        <v>30</v>
      </c>
      <c r="K10" s="7">
        <f t="shared" si="1"/>
        <v>0</v>
      </c>
      <c r="L10" s="7">
        <v>20</v>
      </c>
      <c r="Z10" s="25" t="s">
        <v>64</v>
      </c>
      <c r="AA10" s="31">
        <f>$D40</f>
        <v>4.5</v>
      </c>
      <c r="AE10" s="29" t="s">
        <v>64</v>
      </c>
      <c r="AF10" s="31">
        <f>D38</f>
        <v>1.5</v>
      </c>
      <c r="AI10" s="25" t="s">
        <v>76</v>
      </c>
      <c r="AJ10" s="30">
        <f>$E39</f>
        <v>6.75</v>
      </c>
      <c r="AL10" s="28"/>
    </row>
    <row r="11" spans="1:38" ht="15">
      <c r="A11" s="5" t="s">
        <v>41</v>
      </c>
      <c r="B11" s="7">
        <f>AJ51</f>
        <v>25</v>
      </c>
      <c r="C11" s="7">
        <f>AJ52</f>
        <v>50</v>
      </c>
      <c r="D11" s="7">
        <f>AJ53</f>
        <v>65</v>
      </c>
      <c r="E11" s="7">
        <f t="shared" si="0"/>
        <v>37.5</v>
      </c>
      <c r="F11" s="7">
        <v>30</v>
      </c>
      <c r="G11" s="17">
        <v>25</v>
      </c>
      <c r="H11" s="7">
        <v>15</v>
      </c>
      <c r="I11" s="7">
        <v>65</v>
      </c>
      <c r="J11" s="7">
        <f>AJ54</f>
        <v>50</v>
      </c>
      <c r="K11" s="7">
        <f t="shared" si="1"/>
        <v>0.65</v>
      </c>
      <c r="L11" s="7">
        <v>75</v>
      </c>
      <c r="Z11" s="25" t="s">
        <v>76</v>
      </c>
      <c r="AA11" s="30">
        <f>$E40</f>
        <v>22.5</v>
      </c>
      <c r="AE11" s="29" t="s">
        <v>76</v>
      </c>
      <c r="AF11" s="30">
        <f>E38</f>
        <v>4.5</v>
      </c>
      <c r="AI11" s="25" t="s">
        <v>77</v>
      </c>
      <c r="AJ11" s="30">
        <f>$H39</f>
        <v>7.5600000000000005</v>
      </c>
      <c r="AL11" s="28"/>
    </row>
    <row r="12" spans="1:38" ht="15">
      <c r="A12" s="10" t="s">
        <v>42</v>
      </c>
      <c r="B12" s="8">
        <v>100</v>
      </c>
      <c r="C12" s="8">
        <v>75</v>
      </c>
      <c r="D12" s="8">
        <v>0</v>
      </c>
      <c r="E12" s="7">
        <f t="shared" si="0"/>
        <v>100</v>
      </c>
      <c r="F12" s="8">
        <v>0</v>
      </c>
      <c r="G12" s="17">
        <v>100</v>
      </c>
      <c r="H12" s="8"/>
      <c r="I12" s="8">
        <v>100</v>
      </c>
      <c r="J12" s="8">
        <v>100</v>
      </c>
      <c r="K12" s="7">
        <f t="shared" si="1"/>
        <v>1</v>
      </c>
      <c r="L12" s="8">
        <v>100</v>
      </c>
      <c r="Z12" s="25" t="s">
        <v>77</v>
      </c>
      <c r="AA12" s="30">
        <f>$H40</f>
        <v>24.750000000000004</v>
      </c>
      <c r="AE12" s="29" t="s">
        <v>77</v>
      </c>
      <c r="AF12" s="30">
        <f>H38</f>
        <v>5.0192307692307692</v>
      </c>
      <c r="AI12" s="25" t="s">
        <v>67</v>
      </c>
      <c r="AJ12" s="30">
        <f>$C39</f>
        <v>31.310000000000002</v>
      </c>
      <c r="AL12" s="28"/>
    </row>
    <row r="13" spans="1:38" ht="15">
      <c r="A13" s="5" t="s">
        <v>43</v>
      </c>
      <c r="B13" s="7">
        <f>AD75</f>
        <v>100</v>
      </c>
      <c r="C13" s="7">
        <f>AD76</f>
        <v>100</v>
      </c>
      <c r="D13" s="7">
        <f>AD77</f>
        <v>20</v>
      </c>
      <c r="E13" s="7">
        <f t="shared" si="0"/>
        <v>100</v>
      </c>
      <c r="F13" s="7">
        <v>10</v>
      </c>
      <c r="G13" s="17">
        <v>60</v>
      </c>
      <c r="H13" s="7">
        <v>5</v>
      </c>
      <c r="I13" s="7">
        <v>20</v>
      </c>
      <c r="J13" s="7">
        <f>AD78</f>
        <v>100</v>
      </c>
      <c r="K13" s="7">
        <f t="shared" si="1"/>
        <v>0.2</v>
      </c>
      <c r="L13" s="7">
        <v>0</v>
      </c>
      <c r="Z13" s="25" t="s">
        <v>67</v>
      </c>
      <c r="AA13" s="30">
        <f>$C40</f>
        <v>31.750000000000004</v>
      </c>
      <c r="AE13" s="29" t="s">
        <v>67</v>
      </c>
      <c r="AF13" s="30">
        <f>C38</f>
        <v>7.0192307692307692</v>
      </c>
      <c r="AL13" s="28"/>
    </row>
    <row r="14" spans="1:38" ht="15">
      <c r="A14" s="5" t="s">
        <v>44</v>
      </c>
      <c r="B14" s="7">
        <f>AG87</f>
        <v>50</v>
      </c>
      <c r="C14" s="7">
        <f>AG88</f>
        <v>50</v>
      </c>
      <c r="D14" s="7">
        <f>AG89</f>
        <v>10</v>
      </c>
      <c r="E14" s="7">
        <f t="shared" si="0"/>
        <v>62.5</v>
      </c>
      <c r="F14" s="7">
        <v>20</v>
      </c>
      <c r="G14" s="17">
        <v>15</v>
      </c>
      <c r="H14" s="7">
        <v>5</v>
      </c>
      <c r="I14" s="7">
        <v>10</v>
      </c>
      <c r="J14" s="7">
        <f>AG90</f>
        <v>75</v>
      </c>
      <c r="K14" s="7">
        <f t="shared" si="1"/>
        <v>0.1</v>
      </c>
      <c r="L14" s="7">
        <v>20</v>
      </c>
      <c r="X14" t="s">
        <v>75</v>
      </c>
      <c r="AI14" s="24" t="s">
        <v>74</v>
      </c>
      <c r="AJ14" s="5" t="s">
        <v>35</v>
      </c>
      <c r="AL14" s="28"/>
    </row>
    <row r="15" spans="1:38" ht="15">
      <c r="A15" s="5" t="s">
        <v>45</v>
      </c>
      <c r="B15" s="7">
        <f>AD87</f>
        <v>50</v>
      </c>
      <c r="C15" s="7">
        <f>AD88</f>
        <v>35</v>
      </c>
      <c r="D15" s="7">
        <f>AD89</f>
        <v>5</v>
      </c>
      <c r="E15" s="7">
        <f t="shared" si="0"/>
        <v>52.5</v>
      </c>
      <c r="F15" s="7">
        <v>20</v>
      </c>
      <c r="G15" s="17">
        <v>25</v>
      </c>
      <c r="H15" s="7">
        <v>0</v>
      </c>
      <c r="I15" s="7">
        <v>100</v>
      </c>
      <c r="J15" s="7">
        <f>AD90</f>
        <v>55</v>
      </c>
      <c r="K15" s="7">
        <f t="shared" si="1"/>
        <v>1</v>
      </c>
      <c r="L15" s="7">
        <v>25</v>
      </c>
      <c r="Z15" s="24" t="s">
        <v>74</v>
      </c>
      <c r="AA15" s="5" t="s">
        <v>38</v>
      </c>
      <c r="AI15" s="25" t="s">
        <v>71</v>
      </c>
      <c r="AJ15" s="7">
        <v>15</v>
      </c>
      <c r="AL15" s="28"/>
    </row>
    <row r="16" spans="1:38" ht="15">
      <c r="A16" s="5" t="s">
        <v>46</v>
      </c>
      <c r="B16" s="7">
        <f>AG75</f>
        <v>100</v>
      </c>
      <c r="C16" s="7">
        <f>AG76</f>
        <v>0</v>
      </c>
      <c r="D16" s="7">
        <f>AG77</f>
        <v>0</v>
      </c>
      <c r="E16" s="7">
        <f t="shared" si="0"/>
        <v>60</v>
      </c>
      <c r="F16" s="7">
        <v>65</v>
      </c>
      <c r="G16" s="17">
        <v>20</v>
      </c>
      <c r="H16" s="7">
        <v>75</v>
      </c>
      <c r="I16" s="7">
        <v>20</v>
      </c>
      <c r="J16" s="7">
        <f>AG78</f>
        <v>20</v>
      </c>
      <c r="K16" s="7">
        <f t="shared" si="1"/>
        <v>0.2</v>
      </c>
      <c r="L16" s="7">
        <v>0</v>
      </c>
      <c r="Z16" s="25" t="s">
        <v>71</v>
      </c>
      <c r="AA16" s="7">
        <v>60</v>
      </c>
      <c r="AI16" s="25" t="s">
        <v>17</v>
      </c>
      <c r="AJ16" s="7">
        <v>50</v>
      </c>
      <c r="AL16" s="28"/>
    </row>
    <row r="17" spans="1:38" ht="15">
      <c r="A17" s="5" t="s">
        <v>47</v>
      </c>
      <c r="B17" s="7">
        <f>AA76</f>
        <v>10</v>
      </c>
      <c r="C17" s="7">
        <f>AA77</f>
        <v>45</v>
      </c>
      <c r="D17" s="7">
        <f>AA78</f>
        <v>0</v>
      </c>
      <c r="E17" s="7">
        <f t="shared" si="0"/>
        <v>12.5</v>
      </c>
      <c r="F17" s="7">
        <v>35</v>
      </c>
      <c r="G17" s="17">
        <v>30</v>
      </c>
      <c r="H17" s="7">
        <v>20</v>
      </c>
      <c r="I17" s="7">
        <v>15</v>
      </c>
      <c r="J17" s="7">
        <f>AA79</f>
        <v>15</v>
      </c>
      <c r="K17" s="7">
        <f t="shared" si="1"/>
        <v>0.15</v>
      </c>
      <c r="L17" s="7">
        <v>30</v>
      </c>
      <c r="Z17" s="25" t="s">
        <v>17</v>
      </c>
      <c r="AA17" s="7">
        <v>40</v>
      </c>
      <c r="AI17" s="25" t="s">
        <v>78</v>
      </c>
      <c r="AJ17" s="7">
        <v>10</v>
      </c>
      <c r="AL17" s="28"/>
    </row>
    <row r="18" spans="1:38" ht="15">
      <c r="A18" s="5" t="s">
        <v>48</v>
      </c>
      <c r="B18" s="7">
        <f>AA64</f>
        <v>60</v>
      </c>
      <c r="C18" s="7">
        <f>AA65</f>
        <v>65</v>
      </c>
      <c r="D18" s="7">
        <f>AA66</f>
        <v>10</v>
      </c>
      <c r="E18" s="7">
        <f t="shared" si="0"/>
        <v>45</v>
      </c>
      <c r="F18" s="7">
        <v>40</v>
      </c>
      <c r="G18" s="17">
        <v>40</v>
      </c>
      <c r="H18" s="7">
        <v>45</v>
      </c>
      <c r="I18" s="7">
        <v>10</v>
      </c>
      <c r="J18" s="7">
        <f>AA67</f>
        <v>30</v>
      </c>
      <c r="K18" s="7">
        <f t="shared" si="1"/>
        <v>0.1</v>
      </c>
      <c r="L18" s="7">
        <v>25</v>
      </c>
      <c r="Z18" s="25" t="s">
        <v>78</v>
      </c>
      <c r="AA18" s="7">
        <v>30</v>
      </c>
      <c r="AI18" s="25" t="s">
        <v>23</v>
      </c>
      <c r="AJ18" s="7">
        <v>30</v>
      </c>
      <c r="AL18" s="28"/>
    </row>
    <row r="19" spans="1:38" ht="15">
      <c r="A19" s="5" t="s">
        <v>49</v>
      </c>
      <c r="B19" s="7">
        <f>AJ75</f>
        <v>60</v>
      </c>
      <c r="C19" s="20">
        <f>AJ76</f>
        <v>65</v>
      </c>
      <c r="D19" s="19">
        <f>AJ77</f>
        <v>10</v>
      </c>
      <c r="E19" s="7">
        <f t="shared" si="0"/>
        <v>45</v>
      </c>
      <c r="F19" s="7">
        <v>40</v>
      </c>
      <c r="G19" s="17">
        <v>40</v>
      </c>
      <c r="H19" s="7">
        <v>45</v>
      </c>
      <c r="I19" s="7">
        <v>10</v>
      </c>
      <c r="J19" s="7">
        <f>AJ78</f>
        <v>30</v>
      </c>
      <c r="K19" s="7">
        <f t="shared" si="1"/>
        <v>0.1</v>
      </c>
      <c r="L19" s="7">
        <v>25</v>
      </c>
      <c r="Z19" s="25" t="s">
        <v>23</v>
      </c>
      <c r="AA19" s="7">
        <v>75</v>
      </c>
      <c r="AI19" s="26" t="s">
        <v>72</v>
      </c>
      <c r="AJ19" s="30">
        <f>$B41</f>
        <v>46.25</v>
      </c>
      <c r="AL19" s="28"/>
    </row>
    <row r="20" spans="1:38" ht="15">
      <c r="A20" s="5" t="s">
        <v>50</v>
      </c>
      <c r="B20" s="7">
        <f>AA52</f>
        <v>60</v>
      </c>
      <c r="C20" s="20">
        <f>AA53</f>
        <v>65</v>
      </c>
      <c r="D20" s="7">
        <f>AA54</f>
        <v>10</v>
      </c>
      <c r="E20" s="7">
        <f t="shared" si="0"/>
        <v>45</v>
      </c>
      <c r="F20" s="7">
        <v>40</v>
      </c>
      <c r="G20" s="17">
        <v>40</v>
      </c>
      <c r="H20" s="7">
        <v>45</v>
      </c>
      <c r="I20" s="7">
        <v>10</v>
      </c>
      <c r="J20" s="7">
        <f>AA55</f>
        <v>30</v>
      </c>
      <c r="K20" s="7">
        <f t="shared" si="1"/>
        <v>0.1</v>
      </c>
      <c r="L20" s="7">
        <v>25</v>
      </c>
      <c r="Z20" s="26" t="s">
        <v>72</v>
      </c>
      <c r="AA20" s="30">
        <f>$B44</f>
        <v>275.83333333333337</v>
      </c>
      <c r="AI20" s="27" t="s">
        <v>63</v>
      </c>
      <c r="AJ20" s="31">
        <f>$I41</f>
        <v>85</v>
      </c>
      <c r="AL20" s="18"/>
    </row>
    <row r="21" spans="1:38" ht="15">
      <c r="A21" s="5" t="s">
        <v>51</v>
      </c>
      <c r="B21" s="7">
        <f>AJ63</f>
        <v>40</v>
      </c>
      <c r="C21" s="7">
        <f>AJ64</f>
        <v>50</v>
      </c>
      <c r="D21" s="7">
        <f>AJ65</f>
        <v>50</v>
      </c>
      <c r="E21" s="7">
        <f t="shared" si="0"/>
        <v>40</v>
      </c>
      <c r="F21" s="7">
        <v>60</v>
      </c>
      <c r="G21" s="17">
        <v>75</v>
      </c>
      <c r="H21" s="7">
        <v>20</v>
      </c>
      <c r="I21" s="7">
        <v>40</v>
      </c>
      <c r="J21" s="7">
        <f>AJ66</f>
        <v>40</v>
      </c>
      <c r="K21" s="7">
        <f t="shared" si="1"/>
        <v>0.4</v>
      </c>
      <c r="L21" s="7">
        <v>65</v>
      </c>
      <c r="W21" s="55"/>
      <c r="Z21" s="27" t="s">
        <v>63</v>
      </c>
      <c r="AA21" s="31">
        <f>$I44</f>
        <v>40</v>
      </c>
      <c r="AI21" s="25" t="s">
        <v>64</v>
      </c>
      <c r="AJ21" s="31">
        <f>$D41</f>
        <v>2.25</v>
      </c>
      <c r="AL21" s="28"/>
    </row>
    <row r="22" spans="1:38" ht="15">
      <c r="W22" s="41"/>
      <c r="Z22" s="25" t="s">
        <v>64</v>
      </c>
      <c r="AA22" s="31">
        <f>$D44</f>
        <v>20.25</v>
      </c>
      <c r="AI22" s="25" t="s">
        <v>76</v>
      </c>
      <c r="AJ22" s="30">
        <f>$E41</f>
        <v>41.625</v>
      </c>
      <c r="AL22" s="28"/>
    </row>
    <row r="23" spans="1:38" ht="15">
      <c r="W23" s="41"/>
      <c r="Z23" s="25" t="s">
        <v>76</v>
      </c>
      <c r="AA23" s="30">
        <f>$E44</f>
        <v>107.01249999999999</v>
      </c>
      <c r="AI23" s="25" t="s">
        <v>77</v>
      </c>
      <c r="AJ23" s="30">
        <f>$H41</f>
        <v>47.036249999999995</v>
      </c>
      <c r="AL23" s="28"/>
    </row>
    <row r="24" spans="1:38" ht="15">
      <c r="W24" s="41"/>
      <c r="Z24" s="25" t="s">
        <v>77</v>
      </c>
      <c r="AA24" s="30">
        <f>$H44</f>
        <v>150.19977073718752</v>
      </c>
      <c r="AI24" s="25" t="s">
        <v>67</v>
      </c>
      <c r="AJ24" s="30">
        <f>$C41</f>
        <v>53.911249999999995</v>
      </c>
      <c r="AL24" s="28"/>
    </row>
    <row r="25" spans="1:38" ht="15">
      <c r="W25" s="1" t="s">
        <v>83</v>
      </c>
      <c r="X25" s="1" t="s">
        <v>54</v>
      </c>
      <c r="Z25" s="25" t="s">
        <v>67</v>
      </c>
      <c r="AA25" s="30">
        <f>$C44</f>
        <v>339.2706040705209</v>
      </c>
      <c r="AL25" s="28"/>
    </row>
    <row r="26" spans="1:38" ht="15">
      <c r="W26" s="33"/>
      <c r="X26" s="54" t="s">
        <v>79</v>
      </c>
      <c r="AI26" s="24" t="s">
        <v>74</v>
      </c>
      <c r="AJ26" s="5" t="s">
        <v>36</v>
      </c>
      <c r="AL26" s="28"/>
    </row>
    <row r="27" spans="1:38" ht="15">
      <c r="W27" s="34"/>
      <c r="X27" s="54" t="s">
        <v>80</v>
      </c>
      <c r="Z27" s="24" t="s">
        <v>74</v>
      </c>
      <c r="AA27" s="5" t="s">
        <v>39</v>
      </c>
      <c r="AI27" s="25" t="s">
        <v>71</v>
      </c>
      <c r="AJ27" s="7">
        <v>25</v>
      </c>
      <c r="AL27" s="28"/>
    </row>
    <row r="28" spans="1:38" ht="15">
      <c r="W28" s="35"/>
      <c r="X28" s="54" t="s">
        <v>81</v>
      </c>
      <c r="Z28" s="25" t="s">
        <v>71</v>
      </c>
      <c r="AA28" s="7">
        <v>65</v>
      </c>
      <c r="AI28" s="25" t="s">
        <v>17</v>
      </c>
      <c r="AJ28" s="7">
        <v>65</v>
      </c>
      <c r="AL28" s="28"/>
    </row>
    <row r="29" spans="1:38" ht="15">
      <c r="W29" s="36"/>
      <c r="X29" s="54" t="s">
        <v>82</v>
      </c>
      <c r="Z29" s="25" t="s">
        <v>17</v>
      </c>
      <c r="AA29" s="7">
        <v>50</v>
      </c>
      <c r="AI29" s="25" t="s">
        <v>78</v>
      </c>
      <c r="AJ29" s="7">
        <v>75</v>
      </c>
      <c r="AL29" s="28"/>
    </row>
    <row r="30" spans="1:38" ht="15">
      <c r="W30" s="38"/>
      <c r="X30" s="54" t="s">
        <v>110</v>
      </c>
      <c r="Z30" s="25" t="s">
        <v>78</v>
      </c>
      <c r="AA30" s="7">
        <v>25</v>
      </c>
      <c r="AI30" s="25" t="s">
        <v>23</v>
      </c>
      <c r="AJ30" s="7">
        <v>30</v>
      </c>
    </row>
    <row r="31" spans="1:38" ht="15">
      <c r="W31" s="52"/>
      <c r="X31" s="54" t="s">
        <v>111</v>
      </c>
      <c r="Z31" s="25" t="s">
        <v>23</v>
      </c>
      <c r="AA31" s="7">
        <v>80</v>
      </c>
      <c r="AI31" s="26" t="s">
        <v>72</v>
      </c>
      <c r="AJ31" s="30">
        <f>$B42</f>
        <v>93.333333333333343</v>
      </c>
    </row>
    <row r="32" spans="1:38" ht="15">
      <c r="W32" s="32"/>
      <c r="X32" s="54" t="s">
        <v>113</v>
      </c>
      <c r="Z32" s="26" t="s">
        <v>72</v>
      </c>
      <c r="AA32" s="30">
        <f>$B45</f>
        <v>383.33333333333337</v>
      </c>
      <c r="AI32" s="27" t="s">
        <v>63</v>
      </c>
      <c r="AJ32" s="31">
        <f>$I42</f>
        <v>75</v>
      </c>
    </row>
    <row r="33" spans="1:36" ht="15">
      <c r="W33" s="51"/>
      <c r="X33" s="54" t="s">
        <v>112</v>
      </c>
      <c r="Z33" s="27" t="s">
        <v>63</v>
      </c>
      <c r="AA33" s="31">
        <f>$I45</f>
        <v>35</v>
      </c>
      <c r="AI33" s="25" t="s">
        <v>64</v>
      </c>
      <c r="AJ33" s="31">
        <f>$D42</f>
        <v>12.375</v>
      </c>
    </row>
    <row r="34" spans="1:36" ht="15">
      <c r="W34" s="50"/>
      <c r="X34" s="54" t="s">
        <v>114</v>
      </c>
      <c r="Z34" s="25" t="s">
        <v>64</v>
      </c>
      <c r="AA34" s="31">
        <f>$D45</f>
        <v>14.5</v>
      </c>
      <c r="AI34" s="25" t="s">
        <v>76</v>
      </c>
      <c r="AJ34" s="30">
        <f>$E42</f>
        <v>20</v>
      </c>
    </row>
    <row r="35" spans="1:36" ht="15">
      <c r="W35" s="39"/>
      <c r="X35" s="54" t="s">
        <v>115</v>
      </c>
      <c r="Z35" s="25" t="s">
        <v>76</v>
      </c>
      <c r="AA35" s="30">
        <f>$E45</f>
        <v>148.18124999999998</v>
      </c>
      <c r="AI35" s="25" t="s">
        <v>77</v>
      </c>
      <c r="AJ35" s="30">
        <f>$H42</f>
        <v>21.20873125</v>
      </c>
    </row>
    <row r="36" spans="1:36" ht="15">
      <c r="B36" t="s">
        <v>68</v>
      </c>
      <c r="D36" t="s">
        <v>27</v>
      </c>
      <c r="E36" t="s">
        <v>69</v>
      </c>
      <c r="H36" t="s">
        <v>70</v>
      </c>
      <c r="W36" s="40"/>
      <c r="X36" s="54" t="s">
        <v>116</v>
      </c>
      <c r="Z36" s="25" t="s">
        <v>77</v>
      </c>
      <c r="AA36" s="30">
        <f>$H45</f>
        <v>235.7214911265703</v>
      </c>
      <c r="AI36" s="25" t="s">
        <v>67</v>
      </c>
      <c r="AJ36" s="30">
        <f>$C42</f>
        <v>106.91706458333334</v>
      </c>
    </row>
    <row r="37" spans="1:36" ht="15">
      <c r="A37" s="5"/>
      <c r="B37" s="6" t="s">
        <v>54</v>
      </c>
      <c r="C37" s="5" t="s">
        <v>67</v>
      </c>
      <c r="D37" s="5" t="s">
        <v>64</v>
      </c>
      <c r="E37" s="5" t="s">
        <v>65</v>
      </c>
      <c r="H37" s="1" t="s">
        <v>66</v>
      </c>
      <c r="I37" s="18" t="s">
        <v>63</v>
      </c>
      <c r="W37" s="37"/>
      <c r="X37" s="54" t="s">
        <v>117</v>
      </c>
      <c r="Z37" s="25" t="s">
        <v>67</v>
      </c>
      <c r="AA37" s="30">
        <f>$C45</f>
        <v>485.37357445990369</v>
      </c>
    </row>
    <row r="38" spans="1:36" ht="15">
      <c r="A38" s="5" t="s">
        <v>52</v>
      </c>
      <c r="B38" s="11">
        <f>(E2)</f>
        <v>5</v>
      </c>
      <c r="C38" s="11">
        <f>B38+D38-E38+H38</f>
        <v>7.0192307692307692</v>
      </c>
      <c r="D38" s="7">
        <f>E2*K2</f>
        <v>1.5</v>
      </c>
      <c r="E38" s="11">
        <f>$B$38*((100-$D$2)/100)</f>
        <v>4.5</v>
      </c>
      <c r="F38" s="16">
        <f>((C2-L2)/G2)</f>
        <v>-0.15384615384615385</v>
      </c>
      <c r="G38" s="15">
        <f>(1-F38)/10</f>
        <v>0.11538461538461538</v>
      </c>
      <c r="H38" s="11">
        <f>$B$38*((100-$D$2)/100)*(1+G38)</f>
        <v>5.0192307692307692</v>
      </c>
      <c r="I38">
        <f>IF(B2 &lt;&gt;100, 100-B2)</f>
        <v>90</v>
      </c>
      <c r="X38" s="54"/>
      <c r="AI38" s="24" t="s">
        <v>74</v>
      </c>
      <c r="AJ38" s="5" t="s">
        <v>37</v>
      </c>
    </row>
    <row r="39" spans="1:36" ht="15">
      <c r="A39" s="5" t="s">
        <v>33</v>
      </c>
      <c r="B39" s="11">
        <f>(E2/2)+E3</f>
        <v>22.5</v>
      </c>
      <c r="C39" s="11">
        <f t="shared" ref="C39:C57" si="2">B39+D39-E39+H39</f>
        <v>31.310000000000002</v>
      </c>
      <c r="D39" s="7">
        <f t="shared" ref="D39:D57" si="3">E3*K3</f>
        <v>8</v>
      </c>
      <c r="E39" s="11">
        <f>((E2/2)+E3)*((100-$D$3)/100)</f>
        <v>6.75</v>
      </c>
      <c r="F39" s="16">
        <f t="shared" ref="F39:F57" si="4">((C3-L3)/G3)</f>
        <v>-0.2</v>
      </c>
      <c r="G39" s="15">
        <f t="shared" ref="G39:G57" si="5">(1-F39)/10</f>
        <v>0.12</v>
      </c>
      <c r="H39" s="11">
        <f>((E2/2)+E3)*((100-$D$3)/100)*(1+G39)</f>
        <v>7.5600000000000005</v>
      </c>
      <c r="I39">
        <f t="shared" ref="I39:I57" si="6">IF(B3 &lt;&gt;100, 100-B3)</f>
        <v>100</v>
      </c>
      <c r="Z39" s="24" t="s">
        <v>74</v>
      </c>
      <c r="AA39" s="5" t="s">
        <v>40</v>
      </c>
      <c r="AI39" s="25" t="s">
        <v>71</v>
      </c>
      <c r="AJ39" s="7">
        <v>40</v>
      </c>
    </row>
    <row r="40" spans="1:36" ht="15">
      <c r="A40" s="5" t="s">
        <v>34</v>
      </c>
      <c r="B40" s="11">
        <f>(E2/2)+E4</f>
        <v>25</v>
      </c>
      <c r="C40" s="11">
        <f t="shared" si="2"/>
        <v>31.750000000000004</v>
      </c>
      <c r="D40" s="7">
        <f t="shared" si="3"/>
        <v>4.5</v>
      </c>
      <c r="E40" s="11">
        <f>$B$40*((100-$D$4)/100)</f>
        <v>22.5</v>
      </c>
      <c r="F40" s="16">
        <f t="shared" si="4"/>
        <v>0</v>
      </c>
      <c r="G40" s="15">
        <f t="shared" si="5"/>
        <v>0.1</v>
      </c>
      <c r="H40" s="11">
        <f>$B$40*((100-$D$4)/100)*(1+G40)</f>
        <v>24.750000000000004</v>
      </c>
      <c r="I40">
        <f t="shared" si="6"/>
        <v>85</v>
      </c>
      <c r="W40">
        <v>0</v>
      </c>
      <c r="X40" t="s">
        <v>118</v>
      </c>
      <c r="Z40" s="25" t="s">
        <v>71</v>
      </c>
      <c r="AA40" s="7">
        <v>10</v>
      </c>
      <c r="AI40" s="25" t="s">
        <v>17</v>
      </c>
      <c r="AJ40" s="7">
        <v>45</v>
      </c>
    </row>
    <row r="41" spans="1:36" ht="15">
      <c r="A41" s="5" t="s">
        <v>35</v>
      </c>
      <c r="B41" s="11">
        <f>(B40/2)+(B39/2)+E5</f>
        <v>46.25</v>
      </c>
      <c r="C41" s="11">
        <f t="shared" si="2"/>
        <v>53.911249999999995</v>
      </c>
      <c r="D41" s="7">
        <f t="shared" si="3"/>
        <v>2.25</v>
      </c>
      <c r="E41" s="11">
        <f>((B40/2)+(B39/2)+E5)*((100-$D$5)/100)</f>
        <v>41.625</v>
      </c>
      <c r="F41" s="16">
        <f t="shared" si="4"/>
        <v>-0.3</v>
      </c>
      <c r="G41" s="15">
        <f t="shared" si="5"/>
        <v>0.13</v>
      </c>
      <c r="H41" s="11">
        <f>((B40/2)+(B39/2)+E5)*((100-$D$5)/100)*(1+G41)</f>
        <v>47.036249999999995</v>
      </c>
      <c r="I41">
        <f t="shared" si="6"/>
        <v>85</v>
      </c>
      <c r="W41">
        <v>21</v>
      </c>
      <c r="X41" t="s">
        <v>119</v>
      </c>
      <c r="Z41" s="25" t="s">
        <v>17</v>
      </c>
      <c r="AA41" s="7">
        <v>0</v>
      </c>
      <c r="AI41" s="25" t="s">
        <v>78</v>
      </c>
      <c r="AJ41" s="7">
        <v>35</v>
      </c>
    </row>
    <row r="42" spans="1:36" ht="15">
      <c r="A42" s="5" t="s">
        <v>36</v>
      </c>
      <c r="B42" s="11">
        <f>(B40/3)+(B41)+(B39/2)+E6</f>
        <v>93.333333333333343</v>
      </c>
      <c r="C42" s="11">
        <f t="shared" si="2"/>
        <v>106.91706458333334</v>
      </c>
      <c r="D42" s="7">
        <f t="shared" si="3"/>
        <v>12.375</v>
      </c>
      <c r="E42" s="11">
        <f>((E40/3)+(E41)+(E39/2)+E6)*((100-$D$6)/100)</f>
        <v>20</v>
      </c>
      <c r="F42" s="16">
        <f t="shared" si="4"/>
        <v>1.2</v>
      </c>
      <c r="G42" s="15">
        <f t="shared" si="5"/>
        <v>-1.9999999999999997E-2</v>
      </c>
      <c r="H42" s="11">
        <f>((H40/3)+(H41)+(H39/2)+E6)*((100-$D$6)/100)*(1+G42)</f>
        <v>21.20873125</v>
      </c>
      <c r="I42">
        <f t="shared" si="6"/>
        <v>75</v>
      </c>
      <c r="W42">
        <v>51</v>
      </c>
      <c r="X42" t="s">
        <v>120</v>
      </c>
      <c r="Z42" s="25" t="s">
        <v>78</v>
      </c>
      <c r="AA42" s="7">
        <v>0</v>
      </c>
      <c r="AI42" s="25" t="s">
        <v>23</v>
      </c>
      <c r="AJ42" s="7">
        <v>50</v>
      </c>
    </row>
    <row r="43" spans="1:36" ht="15">
      <c r="A43" s="5" t="s">
        <v>37</v>
      </c>
      <c r="B43" s="11">
        <f>(B56/4)+B42+(B57/4)+E7</f>
        <v>173.33333333333334</v>
      </c>
      <c r="C43" s="11">
        <f t="shared" si="2"/>
        <v>190.39542577083336</v>
      </c>
      <c r="D43" s="7">
        <f t="shared" si="3"/>
        <v>9</v>
      </c>
      <c r="E43" s="11">
        <f>(E56/4)+E42+(E57/4)+E7*((100-$D$7)/100)</f>
        <v>67.3125</v>
      </c>
      <c r="F43" s="16">
        <f t="shared" si="4"/>
        <v>-1</v>
      </c>
      <c r="G43" s="15">
        <f t="shared" si="5"/>
        <v>0.2</v>
      </c>
      <c r="H43" s="11">
        <f>(H56/4)+H42+(H57/4)+E7*((100-$D$7)/100)*(1+G43)</f>
        <v>75.374592437500013</v>
      </c>
      <c r="I43">
        <f t="shared" si="6"/>
        <v>60</v>
      </c>
      <c r="W43">
        <v>91</v>
      </c>
      <c r="X43" t="s">
        <v>121</v>
      </c>
      <c r="Z43" s="25" t="s">
        <v>23</v>
      </c>
      <c r="AA43" s="7">
        <v>30</v>
      </c>
      <c r="AI43" s="26" t="s">
        <v>72</v>
      </c>
      <c r="AJ43" s="30">
        <f>$B43</f>
        <v>173.33333333333334</v>
      </c>
    </row>
    <row r="44" spans="1:36" ht="15">
      <c r="A44" s="5" t="s">
        <v>38</v>
      </c>
      <c r="B44" s="11">
        <f>(B56/4)+(B43)+(B57/4)+E8</f>
        <v>275.83333333333337</v>
      </c>
      <c r="C44" s="11">
        <f t="shared" si="2"/>
        <v>339.2706040705209</v>
      </c>
      <c r="D44" s="7">
        <f t="shared" si="3"/>
        <v>20.25</v>
      </c>
      <c r="E44" s="11">
        <f>((E56/4)+(E43)+(E57/4)+E8)*((100-$D$8)/100)</f>
        <v>107.01249999999999</v>
      </c>
      <c r="F44" s="16">
        <f t="shared" si="4"/>
        <v>-2.25</v>
      </c>
      <c r="G44" s="15">
        <f t="shared" si="5"/>
        <v>0.32500000000000001</v>
      </c>
      <c r="H44" s="11">
        <f>((H56/4)+(H43)+(H57/4)+E8)*((100-$D$8)/100)*(1+G44)</f>
        <v>150.19977073718752</v>
      </c>
      <c r="I44">
        <f t="shared" si="6"/>
        <v>40</v>
      </c>
      <c r="W44">
        <v>131</v>
      </c>
      <c r="X44" t="s">
        <v>122</v>
      </c>
      <c r="Z44" s="26" t="s">
        <v>72</v>
      </c>
      <c r="AA44" s="30">
        <f>$B46</f>
        <v>436.66666666666674</v>
      </c>
      <c r="AI44" s="27" t="s">
        <v>63</v>
      </c>
      <c r="AJ44" s="31">
        <f>$I43</f>
        <v>60</v>
      </c>
    </row>
    <row r="45" spans="1:36" ht="15">
      <c r="A45" s="5" t="s">
        <v>39</v>
      </c>
      <c r="B45" s="11">
        <f>(B56/4)+B44+(B57/4)+E9</f>
        <v>383.33333333333337</v>
      </c>
      <c r="C45" s="11">
        <f t="shared" si="2"/>
        <v>485.37357445990369</v>
      </c>
      <c r="D45" s="7">
        <f t="shared" si="3"/>
        <v>14.5</v>
      </c>
      <c r="E45" s="11">
        <f>((E56/4)+E44+(E57/4)+E9)*((100-$D$9)/100)</f>
        <v>148.18124999999998</v>
      </c>
      <c r="F45" s="16">
        <f t="shared" si="4"/>
        <v>-2</v>
      </c>
      <c r="G45" s="15">
        <f t="shared" si="5"/>
        <v>0.3</v>
      </c>
      <c r="H45" s="11">
        <f>((H56/4)+H44+(H57/4)+E9)*((100-$D$9)/100)*(1+G45)</f>
        <v>235.7214911265703</v>
      </c>
      <c r="I45">
        <f t="shared" si="6"/>
        <v>35</v>
      </c>
      <c r="W45">
        <v>201</v>
      </c>
      <c r="X45" t="s">
        <v>123</v>
      </c>
      <c r="Z45" s="27" t="s">
        <v>63</v>
      </c>
      <c r="AA45" s="31">
        <f>$I46</f>
        <v>90</v>
      </c>
      <c r="AI45" s="25" t="s">
        <v>64</v>
      </c>
      <c r="AJ45" s="31">
        <f>$D43</f>
        <v>9</v>
      </c>
    </row>
    <row r="46" spans="1:36" ht="15">
      <c r="A46" s="5" t="s">
        <v>40</v>
      </c>
      <c r="B46" s="11">
        <f>(B54/5)+B45+(B57/4)+E10</f>
        <v>436.66666666666674</v>
      </c>
      <c r="C46" s="11">
        <f t="shared" si="2"/>
        <v>579.68443944355113</v>
      </c>
      <c r="D46" s="7">
        <f t="shared" si="3"/>
        <v>0</v>
      </c>
      <c r="E46" s="11">
        <f>((E54/5)+E45+(E57/4)+E10)*((100-$D$10)/100)</f>
        <v>184.65749999999997</v>
      </c>
      <c r="F46" s="16">
        <f t="shared" si="4"/>
        <v>-1</v>
      </c>
      <c r="G46" s="15">
        <f t="shared" si="5"/>
        <v>0.2</v>
      </c>
      <c r="H46" s="11">
        <f>((H54/5)+H45+(H57/4)+E10)*((100-$D$10)/100)*(1+G46)</f>
        <v>327.67527277688441</v>
      </c>
      <c r="I46">
        <f t="shared" si="6"/>
        <v>90</v>
      </c>
      <c r="W46">
        <v>301</v>
      </c>
      <c r="X46" t="s">
        <v>124</v>
      </c>
      <c r="Z46" s="25" t="s">
        <v>64</v>
      </c>
      <c r="AA46" s="31">
        <f>$D46</f>
        <v>0</v>
      </c>
      <c r="AI46" s="25" t="s">
        <v>76</v>
      </c>
      <c r="AJ46" s="30">
        <f>$E43</f>
        <v>67.3125</v>
      </c>
    </row>
    <row r="47" spans="1:36" ht="15">
      <c r="A47" s="5" t="s">
        <v>41</v>
      </c>
      <c r="B47" s="11">
        <f>(B54/4)+B46+(B57/4)+B11</f>
        <v>497.91666666666674</v>
      </c>
      <c r="C47" s="11">
        <f t="shared" si="2"/>
        <v>596.9839366817082</v>
      </c>
      <c r="D47" s="7">
        <f t="shared" si="3"/>
        <v>24.375</v>
      </c>
      <c r="E47" s="11">
        <f>((E54/4)+E46+(E57/4))*((100-$D$11)/100)</f>
        <v>71.291609374999993</v>
      </c>
      <c r="F47" s="16">
        <f t="shared" si="4"/>
        <v>-1</v>
      </c>
      <c r="G47" s="15">
        <f t="shared" si="5"/>
        <v>0.2</v>
      </c>
      <c r="H47" s="11">
        <f>((H54/4)+H46+(H57/4))*((100-$D$11)/100)*(1+G47)</f>
        <v>145.98387939004144</v>
      </c>
      <c r="I47">
        <f t="shared" si="6"/>
        <v>75</v>
      </c>
      <c r="W47">
        <v>401</v>
      </c>
      <c r="X47" t="s">
        <v>125</v>
      </c>
      <c r="Z47" s="25" t="s">
        <v>76</v>
      </c>
      <c r="AA47" s="30">
        <f>$E46</f>
        <v>184.65749999999997</v>
      </c>
      <c r="AI47" s="25" t="s">
        <v>77</v>
      </c>
      <c r="AJ47" s="30">
        <f>$H43</f>
        <v>75.374592437500013</v>
      </c>
    </row>
    <row r="48" spans="1:36" ht="15">
      <c r="A48" s="10" t="s">
        <v>42</v>
      </c>
      <c r="B48" s="12">
        <v>100</v>
      </c>
      <c r="C48" s="11">
        <f t="shared" si="2"/>
        <v>100</v>
      </c>
      <c r="D48" s="7">
        <f t="shared" si="3"/>
        <v>100</v>
      </c>
      <c r="E48" s="11">
        <f>B48*((100-D12)/100)</f>
        <v>100</v>
      </c>
      <c r="F48" s="16">
        <f t="shared" si="4"/>
        <v>-0.25</v>
      </c>
      <c r="G48" s="15">
        <f t="shared" si="5"/>
        <v>0.125</v>
      </c>
      <c r="H48" s="11">
        <f>E48*((100-G12)/100)*(1+G48)</f>
        <v>0</v>
      </c>
      <c r="I48">
        <f>IF(B12 &lt;&gt;100, 100-B12,0)</f>
        <v>0</v>
      </c>
      <c r="W48">
        <v>501</v>
      </c>
      <c r="X48" t="s">
        <v>126</v>
      </c>
      <c r="Z48" s="25" t="s">
        <v>77</v>
      </c>
      <c r="AA48" s="30">
        <f>$H46</f>
        <v>327.67527277688441</v>
      </c>
      <c r="AI48" s="25" t="s">
        <v>67</v>
      </c>
      <c r="AJ48" s="30">
        <f>$C43</f>
        <v>190.39542577083336</v>
      </c>
    </row>
    <row r="49" spans="1:36" ht="15">
      <c r="A49" s="5" t="s">
        <v>43</v>
      </c>
      <c r="B49" s="11">
        <f>(B54/4)+B47+(B55/4)+E13</f>
        <v>623.75000000000011</v>
      </c>
      <c r="C49" s="11">
        <f t="shared" si="2"/>
        <v>689.19127577789777</v>
      </c>
      <c r="D49" s="7">
        <f t="shared" si="3"/>
        <v>20</v>
      </c>
      <c r="E49" s="11">
        <f>((E54/4)+E47+(E55/4)+E13)*((100-$D$13)/100)</f>
        <v>155.35953749999999</v>
      </c>
      <c r="F49" s="16">
        <f t="shared" si="4"/>
        <v>1.6666666666666667</v>
      </c>
      <c r="G49" s="15">
        <f t="shared" si="5"/>
        <v>-6.666666666666668E-2</v>
      </c>
      <c r="H49" s="11">
        <f>((H54/4)+H47+(H55/4)+E13)*((100-$D$13)/100)*(1+G49)</f>
        <v>200.80081327789762</v>
      </c>
      <c r="I49">
        <f>IF(B13 &lt;&gt;100, 100-B13,0)</f>
        <v>0</v>
      </c>
      <c r="W49">
        <v>601</v>
      </c>
      <c r="X49" t="s">
        <v>127</v>
      </c>
      <c r="Z49" s="25" t="s">
        <v>67</v>
      </c>
      <c r="AA49" s="30">
        <f>$C46</f>
        <v>579.68443944355113</v>
      </c>
    </row>
    <row r="50" spans="1:36" ht="15">
      <c r="A50" s="5" t="s">
        <v>44</v>
      </c>
      <c r="B50" s="11">
        <f>(B53/4)+(B49)+(B55/4)+E17</f>
        <v>654.27083333333348</v>
      </c>
      <c r="C50" s="11">
        <f t="shared" si="2"/>
        <v>680.13930677593055</v>
      </c>
      <c r="D50" s="7">
        <f t="shared" si="3"/>
        <v>6.25</v>
      </c>
      <c r="E50" s="11">
        <f>((E53/4)+(E49)+(E55/4)+E17)*((100-$D$14)/100)</f>
        <v>165.8747165625</v>
      </c>
      <c r="F50" s="16">
        <f t="shared" si="4"/>
        <v>2</v>
      </c>
      <c r="G50" s="15">
        <f t="shared" si="5"/>
        <v>-0.1</v>
      </c>
      <c r="H50" s="11">
        <f>((H53/4)+(H49)+(H55/4)+E17)*((100-$D$14)/100)*(1+G50)</f>
        <v>185.49319000509706</v>
      </c>
      <c r="I50">
        <f t="shared" si="6"/>
        <v>50</v>
      </c>
      <c r="W50">
        <v>701</v>
      </c>
      <c r="X50" t="s">
        <v>128</v>
      </c>
      <c r="AI50" s="24" t="s">
        <v>74</v>
      </c>
      <c r="AJ50" s="5" t="s">
        <v>41</v>
      </c>
    </row>
    <row r="51" spans="1:36" ht="15">
      <c r="A51" s="5" t="s">
        <v>45</v>
      </c>
      <c r="B51" s="11">
        <f>(B53/4)+B50+(B55/4)+E15</f>
        <v>724.79166666666686</v>
      </c>
      <c r="C51" s="11">
        <f t="shared" si="2"/>
        <v>809.68445717367467</v>
      </c>
      <c r="D51" s="7">
        <f t="shared" si="3"/>
        <v>52.5</v>
      </c>
      <c r="E51" s="11">
        <f>((E53/4)+E50+(E55/4)+E15)*((100-$D$15)/100)</f>
        <v>223.07939870312498</v>
      </c>
      <c r="F51" s="16">
        <f t="shared" si="4"/>
        <v>0.4</v>
      </c>
      <c r="G51" s="15">
        <f t="shared" si="5"/>
        <v>0.06</v>
      </c>
      <c r="H51" s="11">
        <f>((H53/4)+H50+(H55/4)+E15)*((100-$D$15)/100)*(1+G51)</f>
        <v>255.47218921013274</v>
      </c>
      <c r="I51">
        <f t="shared" si="6"/>
        <v>50</v>
      </c>
      <c r="W51" s="53">
        <v>801</v>
      </c>
      <c r="X51" t="s">
        <v>129</v>
      </c>
      <c r="Z51" s="24" t="s">
        <v>74</v>
      </c>
      <c r="AA51" s="5" t="s">
        <v>50</v>
      </c>
      <c r="AI51" s="25" t="s">
        <v>71</v>
      </c>
      <c r="AJ51" s="7">
        <v>25</v>
      </c>
    </row>
    <row r="52" spans="1:36" ht="15">
      <c r="A52" s="5" t="s">
        <v>46</v>
      </c>
      <c r="B52" s="11">
        <f>(B53/4)+B51+(B55/4)+E16</f>
        <v>802.81250000000023</v>
      </c>
      <c r="C52" s="11">
        <f t="shared" si="2"/>
        <v>879.58024380302129</v>
      </c>
      <c r="D52" s="7">
        <f t="shared" si="3"/>
        <v>12</v>
      </c>
      <c r="E52" s="11">
        <f>((E53/4)+E51+(E55/4)+E16)*((100-$D$16)/100)</f>
        <v>299.525101828125</v>
      </c>
      <c r="F52" s="16">
        <f t="shared" si="4"/>
        <v>0</v>
      </c>
      <c r="G52" s="15">
        <f t="shared" si="5"/>
        <v>0.1</v>
      </c>
      <c r="H52" s="11">
        <f>((H53/4)+H51+(H55/4)+E16)*((100-$D$16)/100)*(1+G52)</f>
        <v>364.29284563114606</v>
      </c>
      <c r="I52" t="b">
        <f t="shared" si="6"/>
        <v>0</v>
      </c>
      <c r="Z52" s="25" t="s">
        <v>71</v>
      </c>
      <c r="AA52" s="7">
        <v>60</v>
      </c>
      <c r="AI52" s="25" t="s">
        <v>17</v>
      </c>
      <c r="AJ52" s="7">
        <v>50</v>
      </c>
    </row>
    <row r="53" spans="1:36" ht="15">
      <c r="A53" s="5" t="s">
        <v>47</v>
      </c>
      <c r="B53" s="11">
        <f>(B54/4)+E17</f>
        <v>27.083333333333336</v>
      </c>
      <c r="C53" s="11">
        <f t="shared" si="2"/>
        <v>25.988020833333337</v>
      </c>
      <c r="D53" s="7">
        <f t="shared" si="3"/>
        <v>1.875</v>
      </c>
      <c r="E53" s="11">
        <f>((E54/4)+E17)*((100-$D$17)/100)</f>
        <v>25.282812499999999</v>
      </c>
      <c r="F53" s="16">
        <f t="shared" si="4"/>
        <v>0.5</v>
      </c>
      <c r="G53" s="15">
        <f t="shared" si="5"/>
        <v>0.05</v>
      </c>
      <c r="H53" s="11">
        <f>((H4/4)+E17)*((100-$D$17)/100)*(1+G53)</f>
        <v>22.3125</v>
      </c>
      <c r="I53">
        <f t="shared" si="6"/>
        <v>90</v>
      </c>
      <c r="Z53" s="25" t="s">
        <v>17</v>
      </c>
      <c r="AA53" s="7">
        <v>65</v>
      </c>
      <c r="AI53" s="25" t="s">
        <v>78</v>
      </c>
      <c r="AJ53" s="7">
        <v>65</v>
      </c>
    </row>
    <row r="54" spans="1:36" ht="15">
      <c r="A54" s="5" t="s">
        <v>48</v>
      </c>
      <c r="B54" s="11">
        <f>(B56/4)+E18</f>
        <v>58.333333333333336</v>
      </c>
      <c r="C54" s="11">
        <f t="shared" si="2"/>
        <v>62.98520833333334</v>
      </c>
      <c r="D54" s="7">
        <f t="shared" si="3"/>
        <v>4.5</v>
      </c>
      <c r="E54" s="11">
        <f>((E56/4)+E18)*((100-$D$18)/100)</f>
        <v>51.131250000000001</v>
      </c>
      <c r="F54" s="16">
        <f t="shared" si="4"/>
        <v>1</v>
      </c>
      <c r="G54" s="15">
        <f t="shared" si="5"/>
        <v>0</v>
      </c>
      <c r="H54" s="11">
        <f>((H56/4)+E18)*((100-$D$18)/100)*(1+G54)</f>
        <v>51.283125000000005</v>
      </c>
      <c r="I54">
        <f t="shared" si="6"/>
        <v>40</v>
      </c>
      <c r="Z54" s="25" t="s">
        <v>78</v>
      </c>
      <c r="AA54" s="7">
        <v>10</v>
      </c>
      <c r="AI54" s="25" t="s">
        <v>23</v>
      </c>
      <c r="AJ54" s="7">
        <v>50</v>
      </c>
    </row>
    <row r="55" spans="1:36" ht="15">
      <c r="A55" s="5" t="s">
        <v>49</v>
      </c>
      <c r="B55" s="11">
        <f>E19</f>
        <v>45</v>
      </c>
      <c r="C55" s="11">
        <f t="shared" si="2"/>
        <v>49.5</v>
      </c>
      <c r="D55" s="7">
        <f t="shared" si="3"/>
        <v>4.5</v>
      </c>
      <c r="E55" s="11">
        <f>E19*((100-$D$19)/100)</f>
        <v>40.5</v>
      </c>
      <c r="F55" s="16">
        <f t="shared" si="4"/>
        <v>1</v>
      </c>
      <c r="G55" s="15">
        <f t="shared" si="5"/>
        <v>0</v>
      </c>
      <c r="H55" s="11">
        <f>E19*((100-$D$19)/100)*(1+G55)</f>
        <v>40.5</v>
      </c>
      <c r="I55">
        <f t="shared" si="6"/>
        <v>40</v>
      </c>
      <c r="Z55" s="25" t="s">
        <v>23</v>
      </c>
      <c r="AA55" s="7">
        <v>30</v>
      </c>
      <c r="AI55" s="26" t="s">
        <v>72</v>
      </c>
      <c r="AJ55" s="30">
        <f>$B47</f>
        <v>497.91666666666674</v>
      </c>
    </row>
    <row r="56" spans="1:36" ht="15">
      <c r="A56" s="5" t="s">
        <v>50</v>
      </c>
      <c r="B56" s="11">
        <f>(B40/3)+E20</f>
        <v>53.333333333333336</v>
      </c>
      <c r="C56" s="11">
        <f t="shared" si="2"/>
        <v>58.50833333333334</v>
      </c>
      <c r="D56" s="7">
        <f t="shared" si="3"/>
        <v>4.5</v>
      </c>
      <c r="E56" s="11">
        <f>((E40/3)+E20)*((100-$D$20)/100)</f>
        <v>47.25</v>
      </c>
      <c r="F56" s="16">
        <f t="shared" si="4"/>
        <v>1</v>
      </c>
      <c r="G56" s="15">
        <f t="shared" si="5"/>
        <v>0</v>
      </c>
      <c r="H56" s="11">
        <f>((H40/3)+E20)*((100-$D$20)/100)*(1+G56)</f>
        <v>47.925000000000004</v>
      </c>
      <c r="I56">
        <f t="shared" si="6"/>
        <v>40</v>
      </c>
      <c r="V56" s="49" t="s">
        <v>104</v>
      </c>
      <c r="W56" s="54" t="s">
        <v>102</v>
      </c>
      <c r="X56" s="49" t="s">
        <v>107</v>
      </c>
      <c r="Z56" s="26" t="s">
        <v>72</v>
      </c>
      <c r="AA56" s="30">
        <f>$B56</f>
        <v>53.333333333333336</v>
      </c>
      <c r="AI56" s="27" t="s">
        <v>63</v>
      </c>
      <c r="AJ56" s="31">
        <f>$I47</f>
        <v>75</v>
      </c>
    </row>
    <row r="57" spans="1:36" ht="15">
      <c r="A57" s="5" t="s">
        <v>51</v>
      </c>
      <c r="B57" s="11">
        <f>(B42/2)+E21</f>
        <v>86.666666666666671</v>
      </c>
      <c r="C57" s="11">
        <f t="shared" si="2"/>
        <v>106.00511141666668</v>
      </c>
      <c r="D57" s="7">
        <f t="shared" si="3"/>
        <v>16</v>
      </c>
      <c r="E57" s="11">
        <f>((E42/2)+E21)*((100-$D$21)/100)</f>
        <v>25</v>
      </c>
      <c r="F57" s="16">
        <f t="shared" si="4"/>
        <v>-0.2</v>
      </c>
      <c r="G57" s="15">
        <f t="shared" si="5"/>
        <v>0.12</v>
      </c>
      <c r="H57" s="11">
        <f>((H42/2)+E21)*((100-$D$21)/100)*(1+G57)</f>
        <v>28.338444750000004</v>
      </c>
      <c r="I57">
        <f t="shared" si="6"/>
        <v>60</v>
      </c>
      <c r="V57" s="49" t="s">
        <v>105</v>
      </c>
      <c r="W57" s="54">
        <f>VLOOKUP(actReg,RegData,2,FALSE)</f>
        <v>106.00511141666668</v>
      </c>
      <c r="X57" s="49" t="s">
        <v>108</v>
      </c>
      <c r="Z57" s="27" t="s">
        <v>63</v>
      </c>
      <c r="AA57" s="31">
        <f>$I56</f>
        <v>40</v>
      </c>
      <c r="AI57" s="25" t="s">
        <v>64</v>
      </c>
      <c r="AJ57" s="31">
        <f>$D47</f>
        <v>24.375</v>
      </c>
    </row>
    <row r="58" spans="1:36" ht="15">
      <c r="V58" s="49" t="s">
        <v>106</v>
      </c>
      <c r="W58" s="54" t="str">
        <f>VLOOKUP(actRegValue,W40:X51:X51,2,TRUE)</f>
        <v>clas4</v>
      </c>
      <c r="X58" s="49" t="s">
        <v>109</v>
      </c>
      <c r="Z58" s="25" t="s">
        <v>64</v>
      </c>
      <c r="AA58" s="31">
        <f>$D56</f>
        <v>4.5</v>
      </c>
      <c r="AI58" s="25" t="s">
        <v>76</v>
      </c>
      <c r="AJ58" s="30">
        <f>$E47</f>
        <v>71.291609374999993</v>
      </c>
    </row>
    <row r="59" spans="1:36" ht="15">
      <c r="Z59" s="25" t="s">
        <v>76</v>
      </c>
      <c r="AA59" s="30">
        <f>$E56</f>
        <v>47.25</v>
      </c>
      <c r="AI59" s="25" t="s">
        <v>77</v>
      </c>
      <c r="AJ59" s="30">
        <f>$H47</f>
        <v>145.98387939004144</v>
      </c>
    </row>
    <row r="60" spans="1:36" ht="15">
      <c r="Z60" s="25" t="s">
        <v>77</v>
      </c>
      <c r="AA60" s="30">
        <f>$H56</f>
        <v>47.925000000000004</v>
      </c>
      <c r="AI60" s="25" t="s">
        <v>67</v>
      </c>
      <c r="AJ60" s="30">
        <f>$C47</f>
        <v>596.9839366817082</v>
      </c>
    </row>
    <row r="61" spans="1:36" ht="15">
      <c r="Z61" s="25" t="s">
        <v>67</v>
      </c>
      <c r="AA61" s="30">
        <f>$C56</f>
        <v>58.50833333333334</v>
      </c>
    </row>
    <row r="62" spans="1:36" ht="15">
      <c r="AI62" s="24" t="s">
        <v>74</v>
      </c>
      <c r="AJ62" s="5" t="s">
        <v>51</v>
      </c>
    </row>
    <row r="63" spans="1:36" ht="15">
      <c r="Z63" s="24" t="s">
        <v>74</v>
      </c>
      <c r="AA63" s="5" t="s">
        <v>48</v>
      </c>
      <c r="AI63" s="25" t="s">
        <v>71</v>
      </c>
      <c r="AJ63" s="7">
        <v>40</v>
      </c>
    </row>
    <row r="64" spans="1:36" ht="15">
      <c r="Z64" s="25" t="s">
        <v>71</v>
      </c>
      <c r="AA64" s="7">
        <v>60</v>
      </c>
      <c r="AI64" s="25" t="s">
        <v>17</v>
      </c>
      <c r="AJ64" s="7">
        <v>50</v>
      </c>
    </row>
    <row r="65" spans="1:36" ht="15">
      <c r="Z65" s="25" t="s">
        <v>17</v>
      </c>
      <c r="AA65" s="7">
        <v>65</v>
      </c>
      <c r="AI65" s="25" t="s">
        <v>78</v>
      </c>
      <c r="AJ65" s="7">
        <v>50</v>
      </c>
    </row>
    <row r="66" spans="1:36" ht="15.75" thickBot="1">
      <c r="Z66" s="25" t="s">
        <v>78</v>
      </c>
      <c r="AA66" s="7">
        <v>10</v>
      </c>
      <c r="AI66" s="25" t="s">
        <v>23</v>
      </c>
      <c r="AJ66" s="7">
        <v>40</v>
      </c>
    </row>
    <row r="67" spans="1:36" ht="15">
      <c r="A67" s="42" t="s">
        <v>84</v>
      </c>
      <c r="B67" s="43">
        <f>C38</f>
        <v>7.0192307692307692</v>
      </c>
      <c r="Z67" s="25" t="s">
        <v>23</v>
      </c>
      <c r="AA67" s="7">
        <v>30</v>
      </c>
      <c r="AI67" s="26" t="s">
        <v>72</v>
      </c>
      <c r="AJ67" s="30">
        <f>$B57</f>
        <v>86.666666666666671</v>
      </c>
    </row>
    <row r="68" spans="1:36" ht="15">
      <c r="A68" s="44" t="s">
        <v>85</v>
      </c>
      <c r="B68" s="45">
        <f>C39</f>
        <v>31.310000000000002</v>
      </c>
      <c r="Z68" s="26" t="s">
        <v>72</v>
      </c>
      <c r="AA68" s="30">
        <f>$B54</f>
        <v>58.333333333333336</v>
      </c>
      <c r="AI68" s="27" t="s">
        <v>63</v>
      </c>
      <c r="AJ68" s="31">
        <f>$I57</f>
        <v>60</v>
      </c>
    </row>
    <row r="69" spans="1:36" ht="15">
      <c r="A69" s="44" t="s">
        <v>86</v>
      </c>
      <c r="B69" s="45">
        <f t="shared" ref="B69:B86" si="7">C40</f>
        <v>31.750000000000004</v>
      </c>
      <c r="Z69" s="27" t="s">
        <v>63</v>
      </c>
      <c r="AA69" s="31">
        <f>$I54</f>
        <v>40</v>
      </c>
      <c r="AI69" s="25" t="s">
        <v>64</v>
      </c>
      <c r="AJ69" s="31">
        <f>$D57</f>
        <v>16</v>
      </c>
    </row>
    <row r="70" spans="1:36" ht="15">
      <c r="A70" s="44" t="s">
        <v>87</v>
      </c>
      <c r="B70" s="45">
        <f t="shared" si="7"/>
        <v>53.911249999999995</v>
      </c>
      <c r="Z70" s="25" t="s">
        <v>64</v>
      </c>
      <c r="AA70" s="31">
        <f>$D54</f>
        <v>4.5</v>
      </c>
      <c r="AI70" s="25" t="s">
        <v>76</v>
      </c>
      <c r="AJ70" s="30">
        <f>$E57</f>
        <v>25</v>
      </c>
    </row>
    <row r="71" spans="1:36" ht="15">
      <c r="A71" s="44" t="s">
        <v>88</v>
      </c>
      <c r="B71" s="45">
        <f t="shared" si="7"/>
        <v>106.91706458333334</v>
      </c>
      <c r="Z71" s="25" t="s">
        <v>76</v>
      </c>
      <c r="AA71" s="30">
        <f>$E54</f>
        <v>51.131250000000001</v>
      </c>
      <c r="AI71" s="25" t="s">
        <v>77</v>
      </c>
      <c r="AJ71" s="30">
        <f>$H57</f>
        <v>28.338444750000004</v>
      </c>
    </row>
    <row r="72" spans="1:36" ht="15">
      <c r="A72" s="44" t="s">
        <v>89</v>
      </c>
      <c r="B72" s="45">
        <f t="shared" si="7"/>
        <v>190.39542577083336</v>
      </c>
      <c r="Z72" s="25" t="s">
        <v>77</v>
      </c>
      <c r="AA72" s="30">
        <f>$H54</f>
        <v>51.283125000000005</v>
      </c>
      <c r="AI72" s="25" t="s">
        <v>67</v>
      </c>
      <c r="AJ72" s="30">
        <f>$C57</f>
        <v>106.00511141666668</v>
      </c>
    </row>
    <row r="73" spans="1:36" ht="15">
      <c r="A73" s="44" t="s">
        <v>90</v>
      </c>
      <c r="B73" s="45">
        <f t="shared" si="7"/>
        <v>339.2706040705209</v>
      </c>
      <c r="Z73" s="25" t="s">
        <v>67</v>
      </c>
      <c r="AA73" s="30">
        <f>$C54</f>
        <v>62.98520833333334</v>
      </c>
    </row>
    <row r="74" spans="1:36" ht="15">
      <c r="A74" s="44" t="s">
        <v>91</v>
      </c>
      <c r="B74" s="45">
        <f t="shared" si="7"/>
        <v>485.37357445990369</v>
      </c>
      <c r="AC74" s="24" t="s">
        <v>74</v>
      </c>
      <c r="AD74" s="5" t="s">
        <v>43</v>
      </c>
      <c r="AF74" s="24" t="s">
        <v>74</v>
      </c>
      <c r="AG74" s="5" t="s">
        <v>46</v>
      </c>
      <c r="AI74" s="24" t="s">
        <v>74</v>
      </c>
      <c r="AJ74" s="5" t="s">
        <v>49</v>
      </c>
    </row>
    <row r="75" spans="1:36" ht="15">
      <c r="A75" s="44" t="s">
        <v>92</v>
      </c>
      <c r="B75" s="45">
        <f t="shared" si="7"/>
        <v>579.68443944355113</v>
      </c>
      <c r="Z75" s="24" t="s">
        <v>74</v>
      </c>
      <c r="AA75" s="5" t="s">
        <v>47</v>
      </c>
      <c r="AC75" s="25" t="s">
        <v>71</v>
      </c>
      <c r="AD75" s="7">
        <v>100</v>
      </c>
      <c r="AF75" s="25" t="s">
        <v>71</v>
      </c>
      <c r="AG75" s="7">
        <v>100</v>
      </c>
      <c r="AI75" s="25" t="s">
        <v>71</v>
      </c>
      <c r="AJ75" s="7">
        <v>60</v>
      </c>
    </row>
    <row r="76" spans="1:36" ht="15">
      <c r="A76" s="44" t="s">
        <v>93</v>
      </c>
      <c r="B76" s="45">
        <f t="shared" si="7"/>
        <v>596.9839366817082</v>
      </c>
      <c r="Z76" s="25" t="s">
        <v>71</v>
      </c>
      <c r="AA76" s="7">
        <v>10</v>
      </c>
      <c r="AC76" s="25" t="s">
        <v>17</v>
      </c>
      <c r="AD76" s="7">
        <v>100</v>
      </c>
      <c r="AF76" s="25" t="s">
        <v>17</v>
      </c>
      <c r="AG76" s="7">
        <v>0</v>
      </c>
      <c r="AI76" s="25" t="s">
        <v>17</v>
      </c>
      <c r="AJ76" s="7">
        <v>65</v>
      </c>
    </row>
    <row r="77" spans="1:36" ht="15">
      <c r="A77" s="46" t="s">
        <v>94</v>
      </c>
      <c r="B77" s="45">
        <f t="shared" si="7"/>
        <v>100</v>
      </c>
      <c r="Z77" s="25" t="s">
        <v>17</v>
      </c>
      <c r="AA77" s="7">
        <v>45</v>
      </c>
      <c r="AC77" s="25" t="s">
        <v>78</v>
      </c>
      <c r="AD77" s="7">
        <v>20</v>
      </c>
      <c r="AF77" s="25" t="s">
        <v>78</v>
      </c>
      <c r="AG77" s="7">
        <v>0</v>
      </c>
      <c r="AI77" s="25" t="s">
        <v>78</v>
      </c>
      <c r="AJ77" s="7">
        <v>10</v>
      </c>
    </row>
    <row r="78" spans="1:36" ht="15">
      <c r="A78" s="44" t="s">
        <v>95</v>
      </c>
      <c r="B78" s="45">
        <f t="shared" si="7"/>
        <v>689.19127577789777</v>
      </c>
      <c r="Z78" s="25" t="s">
        <v>78</v>
      </c>
      <c r="AA78" s="7">
        <v>0</v>
      </c>
      <c r="AC78" s="25" t="s">
        <v>23</v>
      </c>
      <c r="AD78" s="7">
        <v>100</v>
      </c>
      <c r="AF78" s="25" t="s">
        <v>23</v>
      </c>
      <c r="AG78" s="7">
        <v>20</v>
      </c>
      <c r="AI78" s="25" t="s">
        <v>23</v>
      </c>
      <c r="AJ78" s="7">
        <v>30</v>
      </c>
    </row>
    <row r="79" spans="1:36" ht="15">
      <c r="A79" s="44" t="s">
        <v>96</v>
      </c>
      <c r="B79" s="45">
        <f t="shared" si="7"/>
        <v>680.13930677593055</v>
      </c>
      <c r="Z79" s="25" t="s">
        <v>23</v>
      </c>
      <c r="AA79" s="7">
        <v>15</v>
      </c>
      <c r="AC79" s="26" t="s">
        <v>72</v>
      </c>
      <c r="AD79" s="30">
        <f>$B49</f>
        <v>623.75000000000011</v>
      </c>
      <c r="AF79" s="26" t="s">
        <v>72</v>
      </c>
      <c r="AG79" s="30">
        <f>$B52</f>
        <v>802.81250000000023</v>
      </c>
      <c r="AI79" s="26" t="s">
        <v>72</v>
      </c>
      <c r="AJ79" s="30">
        <f>$B55</f>
        <v>45</v>
      </c>
    </row>
    <row r="80" spans="1:36" ht="15">
      <c r="A80" s="44" t="s">
        <v>97</v>
      </c>
      <c r="B80" s="45">
        <f t="shared" si="7"/>
        <v>809.68445717367467</v>
      </c>
      <c r="H80" s="21"/>
      <c r="I80" s="22"/>
      <c r="Z80" s="26" t="s">
        <v>72</v>
      </c>
      <c r="AA80" s="30">
        <f>$B53</f>
        <v>27.083333333333336</v>
      </c>
      <c r="AC80" s="27" t="s">
        <v>63</v>
      </c>
      <c r="AD80" s="31">
        <f>$I49</f>
        <v>0</v>
      </c>
      <c r="AF80" s="27" t="s">
        <v>63</v>
      </c>
      <c r="AG80" s="31" t="b">
        <f>$I52</f>
        <v>0</v>
      </c>
      <c r="AI80" s="27" t="s">
        <v>63</v>
      </c>
      <c r="AJ80" s="31">
        <f>$I55</f>
        <v>40</v>
      </c>
    </row>
    <row r="81" spans="1:36" ht="15">
      <c r="A81" s="44" t="s">
        <v>98</v>
      </c>
      <c r="B81" s="45">
        <f t="shared" si="7"/>
        <v>879.58024380302129</v>
      </c>
      <c r="H81" s="21"/>
      <c r="I81" s="21"/>
      <c r="Z81" s="27" t="s">
        <v>63</v>
      </c>
      <c r="AA81" s="31">
        <f>$I53</f>
        <v>90</v>
      </c>
      <c r="AC81" s="25" t="s">
        <v>64</v>
      </c>
      <c r="AD81" s="31">
        <f>$D49</f>
        <v>20</v>
      </c>
      <c r="AF81" s="25" t="s">
        <v>64</v>
      </c>
      <c r="AG81" s="31">
        <f>$D52</f>
        <v>12</v>
      </c>
      <c r="AI81" s="25" t="s">
        <v>64</v>
      </c>
      <c r="AJ81" s="31">
        <f>$D55</f>
        <v>4.5</v>
      </c>
    </row>
    <row r="82" spans="1:36" ht="15">
      <c r="A82" s="44" t="s">
        <v>99</v>
      </c>
      <c r="B82" s="45">
        <f t="shared" si="7"/>
        <v>25.988020833333337</v>
      </c>
      <c r="H82" s="21"/>
      <c r="I82" s="21"/>
      <c r="Z82" s="25" t="s">
        <v>64</v>
      </c>
      <c r="AA82" s="31">
        <f>$D53</f>
        <v>1.875</v>
      </c>
      <c r="AC82" s="25" t="s">
        <v>76</v>
      </c>
      <c r="AD82" s="30">
        <f>$E49</f>
        <v>155.35953749999999</v>
      </c>
      <c r="AF82" s="25" t="s">
        <v>76</v>
      </c>
      <c r="AG82" s="30">
        <f>$E52</f>
        <v>299.525101828125</v>
      </c>
      <c r="AI82" s="25" t="s">
        <v>76</v>
      </c>
      <c r="AJ82" s="30">
        <f>$E55</f>
        <v>40.5</v>
      </c>
    </row>
    <row r="83" spans="1:36" ht="15">
      <c r="A83" s="44" t="s">
        <v>100</v>
      </c>
      <c r="B83" s="45">
        <f t="shared" si="7"/>
        <v>62.98520833333334</v>
      </c>
      <c r="Z83" s="25" t="s">
        <v>76</v>
      </c>
      <c r="AA83" s="30">
        <f>$E53</f>
        <v>25.282812499999999</v>
      </c>
      <c r="AC83" s="25" t="s">
        <v>77</v>
      </c>
      <c r="AD83" s="30">
        <f>$H49</f>
        <v>200.80081327789762</v>
      </c>
      <c r="AF83" s="25" t="s">
        <v>77</v>
      </c>
      <c r="AG83" s="30">
        <f>$H52</f>
        <v>364.29284563114606</v>
      </c>
      <c r="AI83" s="25" t="s">
        <v>77</v>
      </c>
      <c r="AJ83" s="30">
        <f>$H55</f>
        <v>40.5</v>
      </c>
    </row>
    <row r="84" spans="1:36" ht="15">
      <c r="A84" s="44" t="s">
        <v>101</v>
      </c>
      <c r="B84" s="45">
        <f t="shared" si="7"/>
        <v>49.5</v>
      </c>
      <c r="Z84" s="25" t="s">
        <v>77</v>
      </c>
      <c r="AA84" s="30">
        <f>$H53</f>
        <v>22.3125</v>
      </c>
      <c r="AC84" s="25" t="s">
        <v>67</v>
      </c>
      <c r="AD84" s="30">
        <f>$C49</f>
        <v>689.19127577789777</v>
      </c>
      <c r="AF84" s="25" t="s">
        <v>67</v>
      </c>
      <c r="AG84" s="30">
        <f>$C52</f>
        <v>879.58024380302129</v>
      </c>
      <c r="AI84" s="25" t="s">
        <v>67</v>
      </c>
      <c r="AJ84" s="30">
        <f>$C55</f>
        <v>49.5</v>
      </c>
    </row>
    <row r="85" spans="1:36" ht="15">
      <c r="A85" s="44" t="s">
        <v>103</v>
      </c>
      <c r="B85" s="45">
        <f t="shared" si="7"/>
        <v>58.50833333333334</v>
      </c>
      <c r="Z85" s="25" t="s">
        <v>67</v>
      </c>
      <c r="AA85" s="30">
        <f>$C53</f>
        <v>25.988020833333337</v>
      </c>
    </row>
    <row r="86" spans="1:36" ht="15.75" thickBot="1">
      <c r="A86" s="47" t="s">
        <v>102</v>
      </c>
      <c r="B86" s="48">
        <f t="shared" si="7"/>
        <v>106.00511141666668</v>
      </c>
      <c r="AC86" s="24" t="s">
        <v>74</v>
      </c>
      <c r="AD86" s="5" t="s">
        <v>45</v>
      </c>
      <c r="AF86" s="24" t="s">
        <v>74</v>
      </c>
      <c r="AG86" s="5" t="s">
        <v>44</v>
      </c>
    </row>
    <row r="87" spans="1:36" ht="15">
      <c r="AC87" s="25" t="s">
        <v>71</v>
      </c>
      <c r="AD87" s="7">
        <v>50</v>
      </c>
      <c r="AF87" s="25" t="s">
        <v>71</v>
      </c>
      <c r="AG87" s="7">
        <v>50</v>
      </c>
    </row>
    <row r="88" spans="1:36" ht="15">
      <c r="AC88" s="25" t="s">
        <v>17</v>
      </c>
      <c r="AD88" s="7">
        <v>35</v>
      </c>
      <c r="AF88" s="25" t="s">
        <v>17</v>
      </c>
      <c r="AG88" s="7">
        <v>50</v>
      </c>
    </row>
    <row r="89" spans="1:36" ht="15">
      <c r="AC89" s="25" t="s">
        <v>78</v>
      </c>
      <c r="AD89" s="7">
        <v>5</v>
      </c>
      <c r="AF89" s="25" t="s">
        <v>78</v>
      </c>
      <c r="AG89" s="7">
        <v>10</v>
      </c>
    </row>
    <row r="90" spans="1:36" ht="15">
      <c r="AC90" s="25" t="s">
        <v>23</v>
      </c>
      <c r="AD90" s="7">
        <v>55</v>
      </c>
      <c r="AF90" s="25" t="s">
        <v>23</v>
      </c>
      <c r="AG90" s="7">
        <v>75</v>
      </c>
    </row>
    <row r="91" spans="1:36" ht="15">
      <c r="AC91" s="26" t="s">
        <v>72</v>
      </c>
      <c r="AD91" s="30">
        <f>$B51</f>
        <v>724.79166666666686</v>
      </c>
      <c r="AF91" s="26" t="s">
        <v>72</v>
      </c>
      <c r="AG91" s="30">
        <f>$B50</f>
        <v>654.27083333333348</v>
      </c>
    </row>
    <row r="92" spans="1:36" ht="15">
      <c r="AC92" s="27" t="s">
        <v>63</v>
      </c>
      <c r="AD92" s="31">
        <f>$I51</f>
        <v>50</v>
      </c>
      <c r="AF92" s="27" t="s">
        <v>63</v>
      </c>
      <c r="AG92" s="31">
        <f>$I50</f>
        <v>50</v>
      </c>
    </row>
    <row r="93" spans="1:36" ht="15">
      <c r="AC93" s="25" t="s">
        <v>64</v>
      </c>
      <c r="AD93" s="31">
        <f>$D51</f>
        <v>52.5</v>
      </c>
      <c r="AF93" s="25" t="s">
        <v>64</v>
      </c>
      <c r="AG93" s="31">
        <f>$D50</f>
        <v>6.25</v>
      </c>
    </row>
    <row r="94" spans="1:36" ht="15">
      <c r="AC94" s="25" t="s">
        <v>76</v>
      </c>
      <c r="AD94" s="30">
        <f>$E51</f>
        <v>223.07939870312498</v>
      </c>
      <c r="AF94" s="25" t="s">
        <v>76</v>
      </c>
      <c r="AG94" s="30">
        <f>$E50</f>
        <v>165.8747165625</v>
      </c>
    </row>
    <row r="95" spans="1:36" ht="15">
      <c r="AC95" s="25" t="s">
        <v>77</v>
      </c>
      <c r="AD95" s="30">
        <f>$H51</f>
        <v>255.47218921013274</v>
      </c>
      <c r="AF95" s="25" t="s">
        <v>77</v>
      </c>
      <c r="AG95" s="30">
        <f>$H50</f>
        <v>185.49319000509706</v>
      </c>
    </row>
    <row r="96" spans="1:36" ht="15">
      <c r="AC96" s="25" t="s">
        <v>67</v>
      </c>
      <c r="AD96" s="30">
        <f>$C51</f>
        <v>809.68445717367467</v>
      </c>
      <c r="AF96" s="25" t="s">
        <v>67</v>
      </c>
      <c r="AG96" s="30">
        <f>$C50</f>
        <v>680.13930677593055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27</vt:i4>
      </vt:variant>
    </vt:vector>
  </HeadingPairs>
  <TitlesOfParts>
    <vt:vector size="31" baseType="lpstr">
      <vt:lpstr>First Version</vt:lpstr>
      <vt:lpstr>Second Version</vt:lpstr>
      <vt:lpstr>Backup</vt:lpstr>
      <vt:lpstr>FINAL</vt:lpstr>
      <vt:lpstr>_cls1</vt:lpstr>
      <vt:lpstr>_cls2</vt:lpstr>
      <vt:lpstr>_cls3</vt:lpstr>
      <vt:lpstr>actReg</vt:lpstr>
      <vt:lpstr>actRegCode</vt:lpstr>
      <vt:lpstr>actRegValue</vt:lpstr>
      <vt:lpstr>clas1</vt:lpstr>
      <vt:lpstr>clas10</vt:lpstr>
      <vt:lpstr>clas11</vt:lpstr>
      <vt:lpstr>clas12</vt:lpstr>
      <vt:lpstr>clas2</vt:lpstr>
      <vt:lpstr>clas3</vt:lpstr>
      <vt:lpstr>clas4</vt:lpstr>
      <vt:lpstr>clas5</vt:lpstr>
      <vt:lpstr>clas6</vt:lpstr>
      <vt:lpstr>clas7</vt:lpstr>
      <vt:lpstr>clas8</vt:lpstr>
      <vt:lpstr>clas9</vt:lpstr>
      <vt:lpstr>clss1</vt:lpstr>
      <vt:lpstr>clsValue</vt:lpstr>
      <vt:lpstr>Colour1</vt:lpstr>
      <vt:lpstr>Colour2</vt:lpstr>
      <vt:lpstr>Colour3</vt:lpstr>
      <vt:lpstr>Colour4</vt:lpstr>
      <vt:lpstr>Colour5</vt:lpstr>
      <vt:lpstr>ColourP</vt:lpstr>
      <vt:lpstr>RegData</vt:lpstr>
    </vt:vector>
  </TitlesOfParts>
  <Company>Otago Polytechnic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ngaiml1</dc:creator>
  <cp:lastModifiedBy>ngaiml1</cp:lastModifiedBy>
  <cp:lastPrinted>2009-11-16T22:53:11Z</cp:lastPrinted>
  <dcterms:created xsi:type="dcterms:W3CDTF">2009-11-16T03:57:20Z</dcterms:created>
  <dcterms:modified xsi:type="dcterms:W3CDTF">2009-11-20T02:26:12Z</dcterms:modified>
</cp:coreProperties>
</file>